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esktop\guimaras pilot\"/>
    </mc:Choice>
  </mc:AlternateContent>
  <bookViews>
    <workbookView xWindow="120" yWindow="105" windowWidth="11880" windowHeight="5520"/>
  </bookViews>
  <sheets>
    <sheet name="Entry" sheetId="5" r:id="rId1"/>
    <sheet name="Matrix" sheetId="16" r:id="rId2"/>
    <sheet name="3Stars" sheetId="11" r:id="rId3"/>
    <sheet name="Charts" sheetId="15" r:id="rId4"/>
    <sheet name="Dropdown" sheetId="2" state="hidden" r:id="rId5"/>
    <sheet name="Ref" sheetId="10" state="hidden" r:id="rId6"/>
    <sheet name="Settings" sheetId="14" state="hidden" r:id="rId7"/>
  </sheets>
  <definedNames>
    <definedName name="Dropdown">Dropdown!$1:$1048576</definedName>
    <definedName name="Headers">Dropdown!$1:$1</definedName>
    <definedName name="_xlnm.Print_Area" localSheetId="2">'3Stars'!$A$1:$I$49</definedName>
    <definedName name="_xlnm.Print_Area" localSheetId="3">Charts!$A$1:$M$38</definedName>
    <definedName name="_xlnm.Print_Area" localSheetId="1">Matrix!$A$1:$G$19</definedName>
    <definedName name="_xlnm.Print_Titles" localSheetId="2">'3Stars'!$8:$8</definedName>
    <definedName name="Sublist_Left" localSheetId="0">INDEX(Dropdown, 2,MATCH(Entry!XFD1,Headers,0)):INDEX(Dropdown, COUNTA(INDEX(Dropdown,,MATCH(Entry!XFD1,Headers,0))),MATCH(Entry!XFD1,Headers,0))</definedName>
    <definedName name="Sublist_Left" localSheetId="1">INDEX(Dropdown, 2,MATCH(Entry!XFD1,Headers,0)):INDEX(Dropdown, COUNTA(INDEX(Dropdown,,MATCH(Entry!XFD1,Headers,0))),MATCH(Entry!XFD1,Headers,0))</definedName>
    <definedName name="Sublist_Right">INDEX(Dropdown, 2,MATCH(Entry!B1,Headers,0)):INDEX(Dropdown, COUNTA(INDEX(Dropdown,,MATCH(Entry!B1,Headers,0))),MATCH(Entry!B1,Headers,0))</definedName>
    <definedName name="Sublist_Top" localSheetId="0">INDEX(Dropdown, 2,MATCH(Entry!A1048576,Headers,0)):INDEX(Dropdown, COUNTA(INDEX(Dropdown,,MATCH(Entry!A1048576,Headers,0))),MATCH(Entry!A1048576,Headers,0))</definedName>
  </definedNames>
  <calcPr calcId="152511"/>
</workbook>
</file>

<file path=xl/calcChain.xml><?xml version="1.0" encoding="utf-8"?>
<calcChain xmlns="http://schemas.openxmlformats.org/spreadsheetml/2006/main">
  <c r="F16" i="11" l="1"/>
  <c r="D16" i="11"/>
  <c r="F42" i="11" l="1"/>
  <c r="D42" i="11"/>
  <c r="B42" i="11"/>
  <c r="B13" i="11" l="1"/>
  <c r="D13" i="11"/>
  <c r="F13" i="11"/>
  <c r="B37" i="10" l="1"/>
  <c r="B36" i="10"/>
  <c r="B35" i="10"/>
  <c r="B40" i="10"/>
  <c r="B39" i="10"/>
  <c r="G44" i="5" l="1"/>
  <c r="G43" i="5"/>
  <c r="H43" i="5" s="1"/>
  <c r="D36" i="11" l="1"/>
  <c r="F17" i="11"/>
  <c r="B2" i="16" l="1"/>
  <c r="D9" i="11"/>
  <c r="B37" i="11" l="1"/>
  <c r="D37" i="11"/>
  <c r="F37" i="11"/>
  <c r="B11" i="11"/>
  <c r="A2" i="15" l="1"/>
  <c r="B5" i="11" l="1"/>
  <c r="F47" i="11" l="1"/>
  <c r="B29" i="11" l="1"/>
  <c r="D29" i="11"/>
  <c r="F29" i="11"/>
  <c r="B28" i="11"/>
  <c r="F28" i="11"/>
  <c r="B71" i="10"/>
  <c r="B67" i="10"/>
  <c r="B65" i="10"/>
  <c r="B20" i="10" l="1"/>
  <c r="B2" i="10"/>
  <c r="B3" i="10"/>
  <c r="B4" i="10"/>
  <c r="B5" i="10"/>
  <c r="B6" i="10"/>
  <c r="B7" i="10"/>
  <c r="B8" i="10"/>
  <c r="B9" i="10"/>
  <c r="B10" i="10"/>
  <c r="B11" i="10"/>
  <c r="B12" i="10"/>
  <c r="B13" i="10"/>
  <c r="B14" i="10"/>
  <c r="B15" i="10"/>
  <c r="B16" i="10"/>
  <c r="B17" i="10"/>
  <c r="B18" i="10"/>
  <c r="B19" i="10"/>
  <c r="B21" i="10"/>
  <c r="B22" i="10"/>
  <c r="B23" i="10"/>
  <c r="B24" i="10"/>
  <c r="B25" i="10"/>
  <c r="B26" i="10"/>
  <c r="B27" i="10"/>
  <c r="B28" i="10"/>
  <c r="B29" i="10"/>
  <c r="B30" i="10"/>
  <c r="B31" i="10"/>
  <c r="B32" i="10"/>
  <c r="B33" i="10"/>
  <c r="B34" i="10"/>
  <c r="B38" i="10"/>
  <c r="B41" i="10"/>
  <c r="B42" i="10"/>
  <c r="B43" i="10"/>
  <c r="B44" i="10"/>
  <c r="B45" i="10"/>
  <c r="B46" i="10"/>
  <c r="B47" i="10"/>
  <c r="B48" i="10"/>
  <c r="B49" i="10"/>
  <c r="B50" i="10"/>
  <c r="B51" i="10"/>
  <c r="B52" i="10"/>
  <c r="B53" i="10"/>
  <c r="B54" i="10"/>
  <c r="B55" i="10"/>
  <c r="B56" i="10"/>
  <c r="B57" i="10"/>
  <c r="B58" i="10"/>
  <c r="B59" i="10"/>
  <c r="B60" i="10"/>
  <c r="B61" i="10"/>
  <c r="B62" i="10"/>
  <c r="B63" i="10"/>
  <c r="B64" i="10"/>
  <c r="B66" i="10"/>
  <c r="B68" i="10"/>
  <c r="B69" i="10"/>
  <c r="B70" i="10"/>
  <c r="B72" i="10"/>
  <c r="B73" i="10"/>
  <c r="B74" i="10"/>
  <c r="B75" i="10"/>
  <c r="B76" i="10"/>
  <c r="B77" i="10"/>
  <c r="B78" i="10"/>
  <c r="B79" i="10"/>
  <c r="B80" i="10"/>
  <c r="B81" i="10"/>
  <c r="B82" i="10"/>
  <c r="B83" i="10"/>
  <c r="B84" i="10"/>
  <c r="F9" i="11"/>
  <c r="F48" i="11"/>
  <c r="D48" i="11"/>
  <c r="F46" i="11"/>
  <c r="F45" i="11"/>
  <c r="D45" i="11"/>
  <c r="F44" i="11"/>
  <c r="D44" i="11"/>
  <c r="B44" i="11"/>
  <c r="F43" i="11"/>
  <c r="D43" i="11"/>
  <c r="B43" i="11" s="1"/>
  <c r="F41" i="11"/>
  <c r="D41" i="11"/>
  <c r="B41" i="11"/>
  <c r="F40" i="11"/>
  <c r="F39" i="11"/>
  <c r="D39" i="11"/>
  <c r="F38" i="11"/>
  <c r="D38" i="11"/>
  <c r="F36" i="11"/>
  <c r="B36" i="11"/>
  <c r="F35" i="11"/>
  <c r="D35" i="11"/>
  <c r="B35" i="11"/>
  <c r="F34" i="11"/>
  <c r="H34" i="11" s="1"/>
  <c r="P120" i="15" s="1"/>
  <c r="E10" i="16" s="1"/>
  <c r="D34" i="11"/>
  <c r="B34" i="11"/>
  <c r="F33" i="11"/>
  <c r="D33" i="11"/>
  <c r="B33" i="11"/>
  <c r="F32" i="11"/>
  <c r="F31" i="11"/>
  <c r="D28" i="11"/>
  <c r="F27" i="11"/>
  <c r="F26" i="11"/>
  <c r="F25" i="11"/>
  <c r="D25" i="11"/>
  <c r="B25" i="11"/>
  <c r="F24" i="11"/>
  <c r="D24" i="11"/>
  <c r="B24" i="11"/>
  <c r="F23" i="11"/>
  <c r="D23" i="11" s="1"/>
  <c r="B23" i="11" s="1"/>
  <c r="F22" i="11"/>
  <c r="D22" i="11"/>
  <c r="B22" i="11"/>
  <c r="F21" i="11"/>
  <c r="D21" i="11" s="1"/>
  <c r="B21" i="11" s="1"/>
  <c r="F20" i="11"/>
  <c r="D20" i="11"/>
  <c r="B20" i="11"/>
  <c r="F19" i="11"/>
  <c r="D19" i="11"/>
  <c r="B19" i="11"/>
  <c r="F18" i="11"/>
  <c r="D18" i="11"/>
  <c r="B18" i="11"/>
  <c r="F15" i="11"/>
  <c r="D15" i="11"/>
  <c r="F14" i="11"/>
  <c r="D14" i="11"/>
  <c r="F12" i="11"/>
  <c r="D12" i="11" s="1"/>
  <c r="B12" i="11"/>
  <c r="F10" i="11"/>
  <c r="D10" i="11"/>
  <c r="B10" i="11"/>
  <c r="F11" i="11"/>
  <c r="D11" i="11"/>
  <c r="B9" i="11"/>
  <c r="H43" i="11" l="1"/>
  <c r="P136" i="15" s="1"/>
  <c r="C14" i="16" s="1"/>
  <c r="H41" i="11"/>
  <c r="P129" i="15" s="1"/>
  <c r="C13" i="16" s="1"/>
  <c r="H19" i="11"/>
  <c r="P103" i="15" s="1"/>
  <c r="F6" i="16" s="1"/>
  <c r="H35" i="11"/>
  <c r="P121" i="15" s="1"/>
  <c r="C11" i="16" s="1"/>
  <c r="H25" i="11"/>
  <c r="P109" i="15" s="1"/>
  <c r="D8" i="16" s="1"/>
  <c r="H10" i="11"/>
  <c r="I10" i="11"/>
  <c r="I11" i="11"/>
  <c r="H11" i="11"/>
  <c r="H28" i="11"/>
  <c r="P114" i="15" s="1"/>
  <c r="C9" i="16" s="1"/>
  <c r="H24" i="11"/>
  <c r="P108" i="15" s="1"/>
  <c r="C8" i="16" s="1"/>
  <c r="H9" i="11"/>
  <c r="H18" i="11"/>
  <c r="P102" i="15" s="1"/>
  <c r="E6" i="16" s="1"/>
  <c r="H36" i="11"/>
  <c r="P122" i="15" s="1"/>
  <c r="D11" i="16" s="1"/>
  <c r="H42" i="11"/>
  <c r="P130" i="15" s="1"/>
  <c r="D13" i="16" s="1"/>
  <c r="H12" i="11"/>
  <c r="P96" i="15" s="1"/>
  <c r="C5" i="16" s="1"/>
  <c r="D27" i="11"/>
  <c r="B27" i="11" s="1"/>
  <c r="H33" i="11"/>
  <c r="P119" i="15" s="1"/>
  <c r="D10" i="16" s="1"/>
  <c r="F1" i="5"/>
  <c r="P91" i="15" l="1"/>
  <c r="D4" i="16" s="1"/>
  <c r="P92" i="15"/>
  <c r="E4" i="16" s="1"/>
  <c r="I35" i="11"/>
  <c r="P90" i="15"/>
  <c r="C4" i="16" s="1"/>
  <c r="H27" i="11"/>
  <c r="P111" i="15" s="1"/>
  <c r="F8" i="16" s="1"/>
  <c r="I41" i="11"/>
  <c r="I33" i="11"/>
  <c r="B138" i="10"/>
  <c r="B107" i="10"/>
  <c r="B106" i="10"/>
  <c r="B105" i="10"/>
  <c r="B90" i="10"/>
  <c r="B87" i="10"/>
  <c r="B88" i="10"/>
  <c r="B86" i="10"/>
  <c r="P85" i="15" l="1"/>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4" i="10"/>
  <c r="B103" i="10"/>
  <c r="B102" i="10"/>
  <c r="B101" i="10"/>
  <c r="B100" i="10"/>
  <c r="B99" i="10"/>
  <c r="B98" i="10"/>
  <c r="B97" i="10"/>
  <c r="B96" i="10"/>
  <c r="B95" i="10"/>
  <c r="B94" i="10"/>
  <c r="B93" i="10"/>
  <c r="B92" i="10"/>
  <c r="B91" i="10"/>
  <c r="B89" i="10"/>
  <c r="B85" i="10"/>
  <c r="H32" i="11" l="1"/>
  <c r="P118" i="15" s="1"/>
  <c r="C10" i="16" s="1"/>
  <c r="H31" i="11"/>
  <c r="P117" i="15" s="1"/>
  <c r="F9" i="16" s="1"/>
  <c r="H40" i="11"/>
  <c r="P126" i="15" s="1"/>
  <c r="E12" i="16" s="1"/>
  <c r="H48" i="11"/>
  <c r="P141" i="15" s="1"/>
  <c r="E15" i="16" s="1"/>
  <c r="I19" i="11"/>
  <c r="H16" i="11"/>
  <c r="P100" i="15" s="1"/>
  <c r="C6" i="16" s="1"/>
  <c r="H13" i="11"/>
  <c r="P97" i="15" s="1"/>
  <c r="D5" i="16" s="1"/>
  <c r="H39" i="11" l="1"/>
  <c r="P125" i="15" s="1"/>
  <c r="D12" i="16" s="1"/>
  <c r="I27" i="11"/>
  <c r="H21" i="11"/>
  <c r="P105" i="15" s="1"/>
  <c r="D7" i="16" s="1"/>
  <c r="H44" i="11"/>
  <c r="P137" i="15" s="1"/>
  <c r="D14" i="16" s="1"/>
  <c r="H15" i="11"/>
  <c r="P99" i="15" s="1"/>
  <c r="F5" i="16" s="1"/>
  <c r="H14" i="11"/>
  <c r="P98" i="15" s="1"/>
  <c r="E5" i="16" s="1"/>
  <c r="A28" i="5" l="1"/>
  <c r="A29" i="5" s="1"/>
  <c r="A35" i="5" s="1"/>
  <c r="F22" i="5"/>
  <c r="F21" i="5"/>
  <c r="F20" i="5"/>
  <c r="F30" i="11" s="1"/>
  <c r="D30" i="11" l="1"/>
  <c r="B30" i="11" s="1"/>
  <c r="H30" i="11"/>
  <c r="P116" i="15" s="1"/>
  <c r="E9" i="16" s="1"/>
  <c r="I9" i="11"/>
  <c r="I12" i="11"/>
  <c r="H22" i="11" l="1"/>
  <c r="P106" i="15" s="1"/>
  <c r="E7" i="16" s="1"/>
  <c r="H38" i="11" l="1"/>
  <c r="P124" i="15" s="1"/>
  <c r="C12" i="16" s="1"/>
  <c r="H46" i="11"/>
  <c r="P139" i="15" s="1"/>
  <c r="C15" i="16" s="1"/>
  <c r="H45" i="11"/>
  <c r="P138" i="15" s="1"/>
  <c r="E14" i="16" s="1"/>
  <c r="H26" i="11"/>
  <c r="H20" i="11"/>
  <c r="P104" i="15" s="1"/>
  <c r="C7" i="16" s="1"/>
  <c r="I18" i="11"/>
  <c r="A36" i="5"/>
  <c r="A37" i="5" s="1"/>
  <c r="A42" i="5" s="1"/>
  <c r="I24" i="11" l="1"/>
  <c r="P110" i="15"/>
  <c r="E8" i="16" s="1"/>
  <c r="A46" i="5"/>
  <c r="A49" i="5" s="1"/>
  <c r="H23" i="11" l="1"/>
  <c r="P107" i="15" s="1"/>
  <c r="F7" i="16" s="1"/>
  <c r="A50" i="5"/>
  <c r="A51" i="5" s="1"/>
  <c r="A52" i="5" s="1"/>
  <c r="A53" i="5" s="1"/>
  <c r="A54" i="5" s="1"/>
  <c r="A55" i="5" s="1"/>
  <c r="A65" i="5" s="1"/>
  <c r="A66" i="5" s="1"/>
  <c r="A67" i="5" s="1"/>
  <c r="A68" i="5" s="1"/>
  <c r="A69" i="5" s="1"/>
  <c r="A70" i="5" s="1"/>
  <c r="A71" i="5" s="1"/>
  <c r="A72" i="5" s="1"/>
  <c r="A73" i="5" s="1"/>
  <c r="A74" i="5" s="1"/>
  <c r="A79" i="5" s="1"/>
  <c r="A80" i="5" s="1"/>
  <c r="A81" i="5" s="1"/>
  <c r="A85" i="5" s="1"/>
  <c r="A86" i="5" s="1"/>
  <c r="A91" i="5" s="1"/>
  <c r="A92" i="5" s="1"/>
  <c r="I20" i="11" l="1"/>
  <c r="A96" i="5"/>
  <c r="A97" i="5" l="1"/>
  <c r="A98" i="5" s="1"/>
  <c r="A99" i="5" s="1"/>
  <c r="A107" i="5" s="1"/>
  <c r="A113" i="5" s="1"/>
  <c r="A114" i="5" s="1"/>
  <c r="A118" i="5" s="1"/>
  <c r="A119" i="5" s="1"/>
  <c r="A123" i="5" s="1"/>
  <c r="A130" i="5" s="1"/>
  <c r="A136" i="5" s="1"/>
  <c r="A137" i="5" s="1"/>
  <c r="A138" i="5" s="1"/>
  <c r="A139" i="5" s="1"/>
  <c r="H17" i="11"/>
  <c r="P101" i="15" s="1"/>
  <c r="D6" i="16" s="1"/>
  <c r="A144" i="5" l="1"/>
  <c r="A145" i="5" s="1"/>
  <c r="A150" i="5" s="1"/>
  <c r="A157" i="5" s="1"/>
  <c r="A158" i="5" s="1"/>
  <c r="A159" i="5" s="1"/>
  <c r="A160" i="5" s="1"/>
  <c r="A161" i="5" s="1"/>
  <c r="A162" i="5" s="1"/>
  <c r="I13" i="11"/>
  <c r="P83" i="15" s="1"/>
  <c r="H29" i="11" l="1"/>
  <c r="P115" i="15" s="1"/>
  <c r="D9" i="16" s="1"/>
  <c r="I43" i="11"/>
  <c r="I28" i="11" l="1"/>
  <c r="P82" i="15"/>
  <c r="H37" i="11"/>
  <c r="B6" i="11"/>
  <c r="B4" i="11"/>
  <c r="P123" i="15" l="1"/>
  <c r="E11" i="16" s="1"/>
  <c r="I37" i="11"/>
  <c r="P84" i="15" s="1"/>
  <c r="A3" i="2"/>
  <c r="A4" i="2" s="1"/>
  <c r="A5" i="2" s="1"/>
  <c r="A6" i="2" s="1"/>
  <c r="A7" i="2" s="1"/>
  <c r="A8" i="2" s="1"/>
  <c r="A9" i="2" s="1"/>
  <c r="A10" i="2" s="1"/>
  <c r="A11" i="2" s="1"/>
  <c r="A12" i="2" s="1"/>
  <c r="A13" i="2" s="1"/>
  <c r="A14" i="2" s="1"/>
  <c r="A15" i="2" s="1"/>
  <c r="A16" i="2" s="1"/>
  <c r="D47" i="11" l="1"/>
  <c r="H47" i="11" s="1"/>
  <c r="P140" i="15" s="1"/>
  <c r="D15" i="16" s="1"/>
  <c r="I44" i="11" l="1"/>
  <c r="I5" i="11" l="1"/>
  <c r="I4" i="11" s="1"/>
  <c r="P86" i="15"/>
</calcChain>
</file>

<file path=xl/sharedStrings.xml><?xml version="1.0" encoding="utf-8"?>
<sst xmlns="http://schemas.openxmlformats.org/spreadsheetml/2006/main" count="650" uniqueCount="522">
  <si>
    <t>Description</t>
  </si>
  <si>
    <t>Data</t>
  </si>
  <si>
    <t>Y</t>
  </si>
  <si>
    <t>Required Data</t>
  </si>
  <si>
    <t>Variable  Code</t>
  </si>
  <si>
    <t>Unique Key/s</t>
  </si>
  <si>
    <t>YesNo</t>
  </si>
  <si>
    <t>Yes</t>
  </si>
  <si>
    <t>Male</t>
  </si>
  <si>
    <t>Female</t>
  </si>
  <si>
    <t>No</t>
  </si>
  <si>
    <t>School Year</t>
  </si>
  <si>
    <t>School ID</t>
  </si>
  <si>
    <t xml:space="preserve">Division </t>
  </si>
  <si>
    <t>School District</t>
  </si>
  <si>
    <t>School Name</t>
  </si>
  <si>
    <t>Name of the Schoool Head</t>
  </si>
  <si>
    <t>Check</t>
  </si>
  <si>
    <t>Others</t>
  </si>
  <si>
    <t>* Required</t>
  </si>
  <si>
    <t>Date of Survey: (yyyy-mm-dd)</t>
  </si>
  <si>
    <t>School Address</t>
  </si>
  <si>
    <t>Contact Number</t>
  </si>
  <si>
    <t>A. School Profile</t>
  </si>
  <si>
    <t>B. Water Access</t>
  </si>
  <si>
    <t>Teachers ask the learners to bring their own drinking water to school</t>
  </si>
  <si>
    <t>Safe water in refillable containers are provided in designated areas within the school</t>
  </si>
  <si>
    <t>Available only on certain days of the week</t>
  </si>
  <si>
    <t>Available daily but only in certain hours</t>
  </si>
  <si>
    <t>Available daily for 24 hours</t>
  </si>
  <si>
    <t>C. Sanitation</t>
  </si>
  <si>
    <t>At least twice a week</t>
  </si>
  <si>
    <t>Once a week</t>
  </si>
  <si>
    <t>Less than once a week</t>
  </si>
  <si>
    <t>2-3 times a week</t>
  </si>
  <si>
    <t>No collection</t>
  </si>
  <si>
    <t>Some</t>
  </si>
  <si>
    <t>None</t>
  </si>
  <si>
    <t>AllSome</t>
  </si>
  <si>
    <t xml:space="preserve">Pumping out of water </t>
  </si>
  <si>
    <t>Filling of stagnant water</t>
  </si>
  <si>
    <t>Soak pit</t>
  </si>
  <si>
    <t>Treatment of stagnant water to prevent breeding of mosquitoes</t>
  </si>
  <si>
    <t>Wearing of hairnet, gloves, masks and apron</t>
  </si>
  <si>
    <t>Handwashing</t>
  </si>
  <si>
    <t>Segregation of dry and wet food materials</t>
  </si>
  <si>
    <t>Students assist teachers in supervising handwashing activities</t>
  </si>
  <si>
    <t>Students are assigned to lead handwashing activities</t>
  </si>
  <si>
    <t>Classrooms</t>
  </si>
  <si>
    <t>Toilets</t>
  </si>
  <si>
    <t>Canteen/Eating Areas</t>
  </si>
  <si>
    <t>Play areas</t>
  </si>
  <si>
    <t>Clinics</t>
  </si>
  <si>
    <t>Laboratories</t>
  </si>
  <si>
    <t>Agricultural areas (eg. Gulayan, livestock area)</t>
  </si>
  <si>
    <t>Before meals</t>
  </si>
  <si>
    <t>After using the toilet</t>
  </si>
  <si>
    <t>After cleaning activities</t>
  </si>
  <si>
    <t>After playing in the playground</t>
  </si>
  <si>
    <t>After handling soil and animals</t>
  </si>
  <si>
    <t>Students assist teachers in supervising toothbrushing activities</t>
  </si>
  <si>
    <t>Students are assigned to lead toothbrushing activities</t>
  </si>
  <si>
    <t>School improvement plan (SIP)</t>
  </si>
  <si>
    <t>Annual improvement plan (AIP)</t>
  </si>
  <si>
    <t>D. Hygiene</t>
  </si>
  <si>
    <t>Soap</t>
  </si>
  <si>
    <t>Toothbrush</t>
  </si>
  <si>
    <t>Toothpaste</t>
  </si>
  <si>
    <t>Repair and maintenance</t>
  </si>
  <si>
    <t>School MOOE</t>
  </si>
  <si>
    <t>LGU Funds</t>
  </si>
  <si>
    <t>Children bring their own</t>
  </si>
  <si>
    <t>School Canteen</t>
  </si>
  <si>
    <t xml:space="preserve">School Clinic </t>
  </si>
  <si>
    <t>Guidance Office</t>
  </si>
  <si>
    <t>Cleaning materials/supplies for toilets</t>
  </si>
  <si>
    <t>E. Deworming</t>
  </si>
  <si>
    <t>F. Health Education</t>
  </si>
  <si>
    <t xml:space="preserve">Hygiene </t>
  </si>
  <si>
    <t xml:space="preserve">Sanitation </t>
  </si>
  <si>
    <t>Food safety</t>
  </si>
  <si>
    <t>Menstrual Health</t>
  </si>
  <si>
    <t>Handwashing facilities</t>
  </si>
  <si>
    <t>Canteen/Eating areas</t>
  </si>
  <si>
    <t>Catgegory</t>
  </si>
  <si>
    <t>One Star</t>
  </si>
  <si>
    <t>Two Stars</t>
  </si>
  <si>
    <t>Three Stars</t>
  </si>
  <si>
    <t>Sanitation</t>
  </si>
  <si>
    <t>Hygiene</t>
  </si>
  <si>
    <t xml:space="preserve">Water </t>
  </si>
  <si>
    <t>Deworming</t>
  </si>
  <si>
    <t>Health Education</t>
  </si>
  <si>
    <t>WaterAvailability</t>
  </si>
  <si>
    <t>Score</t>
  </si>
  <si>
    <t>CleaningSchedule</t>
  </si>
  <si>
    <t>GarbageSchedule</t>
  </si>
  <si>
    <t>Daily</t>
  </si>
  <si>
    <t>All</t>
  </si>
  <si>
    <t>HandwashingParticipation</t>
  </si>
  <si>
    <t>ToothbrushingParticipation</t>
  </si>
  <si>
    <t>Students are participants supervised by teachers</t>
  </si>
  <si>
    <t>Division:</t>
  </si>
  <si>
    <t>District:</t>
  </si>
  <si>
    <t>School:</t>
  </si>
  <si>
    <t>DEPARTMENT OF EDUCATION</t>
  </si>
  <si>
    <t>Overall Rating:</t>
  </si>
  <si>
    <t>What mechanism are used to ensure learners have safe drinking water?</t>
  </si>
  <si>
    <t>In the previous week, how often is water for daily handwashing and cleaning of toilets available in the school regardless of source? (This includes water delivered to the school or collected from rain)</t>
  </si>
  <si>
    <t>Does the school coordinate with the LGU or water district to test the quality of drinking water?</t>
  </si>
  <si>
    <t>How many times was the quality of drinking water tested in the previous school year?</t>
  </si>
  <si>
    <t xml:space="preserve">How many toilet seats are available for children in the school? Do not include toilet seats for teachers. </t>
  </si>
  <si>
    <t xml:space="preserve">Are there toilet/s designed for persons with limited mobility? (These toilets must have a ramp, railing and adequate space for a wheelchair) </t>
  </si>
  <si>
    <t>How often are the sanitation facilities cleaned?</t>
  </si>
  <si>
    <t>Does the school burn its waste?</t>
  </si>
  <si>
    <t>How regular is garbage being collected from the school?</t>
  </si>
  <si>
    <t>Does the school have a materials recovery facility (MRF)?</t>
  </si>
  <si>
    <t>Do all toilets in the school have functional septic tank/s?</t>
  </si>
  <si>
    <t>In the past year, did the school experience any floods?</t>
  </si>
  <si>
    <t>Does the school adopt the following mechanisms to address stagnant water?</t>
  </si>
  <si>
    <t>Does the school canteen have a sanitary permit?</t>
  </si>
  <si>
    <t xml:space="preserve">Do food handlers practice the following food safety measures? </t>
  </si>
  <si>
    <t>Have all food handlers been oriented on food safety measures?</t>
  </si>
  <si>
    <t>Is there a regular supply of soap for handwashing?</t>
  </si>
  <si>
    <t>How many group handwashing facilities are available in the school?</t>
  </si>
  <si>
    <t xml:space="preserve">Do children perform individual handwashing the following times? </t>
  </si>
  <si>
    <t>How many times in a week is group toothbrushing with flouride conducted for all children in the school?</t>
  </si>
  <si>
    <t>Is there a regular supply of toothbrush and toothpaste for toothbrushing?</t>
  </si>
  <si>
    <t>What are the sources of funds for WinS Supplies? Please check all that apply.</t>
  </si>
  <si>
    <t>Where can learners avail of sanitary pads?</t>
  </si>
  <si>
    <t>Is there information on proper disposal of sanitary napkins in the girls toilet?</t>
  </si>
  <si>
    <t>How many toilets for girls have a washing facility inside the toilet?</t>
  </si>
  <si>
    <t>Are detached toilets for girls within view of school building and people?</t>
  </si>
  <si>
    <t xml:space="preserve"> Is deworming done semi-annually?</t>
  </si>
  <si>
    <t>Which areas in the school have IEC materials for WinS?</t>
  </si>
  <si>
    <t>Is WinS a part of INSET?</t>
  </si>
  <si>
    <t>Are learning materials available for teaching WinS?</t>
  </si>
  <si>
    <t>Is WinS being advocated in the GPTCA assembly?</t>
  </si>
  <si>
    <t>What is the extent of student participation in supervising group toothbrushing</t>
  </si>
  <si>
    <t>Does the school have a canteen?</t>
  </si>
  <si>
    <t>Is waste segregation being practiced in the school</t>
  </si>
  <si>
    <t>Does the school have policies/sanctions which promote the practice of waste segregation</t>
  </si>
  <si>
    <t xml:space="preserve">Are there organized structures (eg. TWGs, student clubs)  to promote WinS? </t>
  </si>
  <si>
    <t>Total Enrolment</t>
  </si>
  <si>
    <t>Shift 1</t>
  </si>
  <si>
    <t>Shift 2</t>
  </si>
  <si>
    <t>Shift 3</t>
  </si>
  <si>
    <t>Total</t>
  </si>
  <si>
    <t xml:space="preserve">Does the school provide safe drinking water? </t>
  </si>
  <si>
    <t>ProvideWater</t>
  </si>
  <si>
    <t>All the time</t>
  </si>
  <si>
    <t>No drinking water in the school</t>
  </si>
  <si>
    <t>Shared/ Communal</t>
  </si>
  <si>
    <t>Do toilets for girls have wrapping materials for used sanitary pads?</t>
  </si>
  <si>
    <t>Are segregated trash bins with cover available in the following areas?</t>
  </si>
  <si>
    <t>Canteens</t>
  </si>
  <si>
    <t>Offices</t>
  </si>
  <si>
    <t>Hallways</t>
  </si>
  <si>
    <t>Gardens</t>
  </si>
  <si>
    <t>Does the school have a compost pit for biodegradable waste?</t>
  </si>
  <si>
    <t>Does the school have a refuse pit for non-biodegradable waste?</t>
  </si>
  <si>
    <t>Does the school have a functional drainage from the kitchen and wash areas to ensure that there is no stagnant water?</t>
  </si>
  <si>
    <t>Do all food handlers in the school have health certificates?</t>
  </si>
  <si>
    <t>How many times in a week is group handwashing with soap conducted for all children in the school? (only for elementary)</t>
  </si>
  <si>
    <t>What is the extent of student participation in supervising group handwashing? (only for elementary)</t>
  </si>
  <si>
    <t>Are the repair and maintenance requirements for WASH facilities reflected in the following:</t>
  </si>
  <si>
    <t xml:space="preserve">Private donations </t>
  </si>
  <si>
    <t>PTA</t>
  </si>
  <si>
    <t>Is there a designated rest space/changing room for girls with menstrual discomfort?</t>
  </si>
  <si>
    <t>Are there planned and organized activities for advocating WinS to parents/stakeholders?</t>
  </si>
  <si>
    <t>Level</t>
  </si>
  <si>
    <t>Elementary</t>
  </si>
  <si>
    <t>Secondary</t>
  </si>
  <si>
    <t>Are handwashing facilities with soap available in the following areas?</t>
  </si>
  <si>
    <t>System</t>
  </si>
  <si>
    <t>Version</t>
  </si>
  <si>
    <t>wins_school_monitoring</t>
  </si>
  <si>
    <t>level</t>
  </si>
  <si>
    <t>survey_date</t>
  </si>
  <si>
    <t>sy</t>
  </si>
  <si>
    <t>school_name</t>
  </si>
  <si>
    <t>schid</t>
  </si>
  <si>
    <t>school_district</t>
  </si>
  <si>
    <t>address</t>
  </si>
  <si>
    <t xml:space="preserve">division </t>
  </si>
  <si>
    <t>school_head</t>
  </si>
  <si>
    <t>contact_number</t>
  </si>
  <si>
    <t>shift1_male</t>
  </si>
  <si>
    <t>shift1_female</t>
  </si>
  <si>
    <t>shift2_male</t>
  </si>
  <si>
    <t>shift2_female</t>
  </si>
  <si>
    <t>shift3_male</t>
  </si>
  <si>
    <t>shift3_female</t>
  </si>
  <si>
    <t>Is the drinking water provided by the school for free?</t>
  </si>
  <si>
    <t>water_bring</t>
  </si>
  <si>
    <t>water_container</t>
  </si>
  <si>
    <t>water_boiled</t>
  </si>
  <si>
    <t>water_free</t>
  </si>
  <si>
    <t>water_others</t>
  </si>
  <si>
    <t>water_cleaning_available</t>
  </si>
  <si>
    <t>water_coordinate_test</t>
  </si>
  <si>
    <t>water_test</t>
  </si>
  <si>
    <t>toilet_secure</t>
  </si>
  <si>
    <t>toilet_wrapping_pads</t>
  </si>
  <si>
    <t>toilet_female_wash</t>
  </si>
  <si>
    <t>toilet_female_view</t>
  </si>
  <si>
    <t>toilet_disabled</t>
  </si>
  <si>
    <t>waste_burn</t>
  </si>
  <si>
    <t>trashbin_classroom</t>
  </si>
  <si>
    <t>trashbin_toilet</t>
  </si>
  <si>
    <t>trashbin_canteen</t>
  </si>
  <si>
    <t>trashbin_office</t>
  </si>
  <si>
    <t>trashbin_clinic</t>
  </si>
  <si>
    <t>trashbin_play</t>
  </si>
  <si>
    <t>trashbin_garden</t>
  </si>
  <si>
    <t>trashbin_hallway</t>
  </si>
  <si>
    <t>trashbin_gym</t>
  </si>
  <si>
    <t>segregation_practice</t>
  </si>
  <si>
    <t>segregation_policy</t>
  </si>
  <si>
    <t>refuse_pit</t>
  </si>
  <si>
    <t>materials_recovery</t>
  </si>
  <si>
    <t>flood</t>
  </si>
  <si>
    <t>stagnant_pumping</t>
  </si>
  <si>
    <t>stagnant_filling</t>
  </si>
  <si>
    <t>stagnant_soak_pit</t>
  </si>
  <si>
    <t>stagnant_treatment</t>
  </si>
  <si>
    <t>canteen</t>
  </si>
  <si>
    <t>canteen_permit</t>
  </si>
  <si>
    <t>safety_wearing</t>
  </si>
  <si>
    <t>safety_handwashing</t>
  </si>
  <si>
    <t>safety_segregation</t>
  </si>
  <si>
    <t>handlers_certificate</t>
  </si>
  <si>
    <t>handwashing_times</t>
  </si>
  <si>
    <t>group_facility</t>
  </si>
  <si>
    <t>soap_supply</t>
  </si>
  <si>
    <t>soap_classroom</t>
  </si>
  <si>
    <t>soap_toilet</t>
  </si>
  <si>
    <t>soap_canteen</t>
  </si>
  <si>
    <t>soap_play</t>
  </si>
  <si>
    <t>soap_clinic</t>
  </si>
  <si>
    <t>soap_laboratory</t>
  </si>
  <si>
    <t>soap_agriculture</t>
  </si>
  <si>
    <t>handwashing_before_meals</t>
  </si>
  <si>
    <t>handwashing_after_toilet</t>
  </si>
  <si>
    <t>handwashing_after_play</t>
  </si>
  <si>
    <t>handwashing_after_soil</t>
  </si>
  <si>
    <t>toothbrushing_times</t>
  </si>
  <si>
    <t>toothbrushing_supply</t>
  </si>
  <si>
    <t>maintenance_sip</t>
  </si>
  <si>
    <t>maintenance_aip</t>
  </si>
  <si>
    <t>soap_mooe</t>
  </si>
  <si>
    <t>toothbrush_mooe</t>
  </si>
  <si>
    <t>toothpaste_mooe</t>
  </si>
  <si>
    <t>cleaning_mooe</t>
  </si>
  <si>
    <t>repair_mooe</t>
  </si>
  <si>
    <t>soap_private</t>
  </si>
  <si>
    <t>toothbrush_private</t>
  </si>
  <si>
    <t>toothpaste_private</t>
  </si>
  <si>
    <t>cleaning_private</t>
  </si>
  <si>
    <t>repair_private</t>
  </si>
  <si>
    <t>soap_pta</t>
  </si>
  <si>
    <t>toothbrush_pta</t>
  </si>
  <si>
    <t>toothpaste_pta</t>
  </si>
  <si>
    <t>cleaning_pta</t>
  </si>
  <si>
    <t>repair_pta</t>
  </si>
  <si>
    <t>soap_lgu</t>
  </si>
  <si>
    <t>toothbrush_lgu</t>
  </si>
  <si>
    <t>toothpaste_lgu</t>
  </si>
  <si>
    <t>cleaning_lgu</t>
  </si>
  <si>
    <t>repair_lgu</t>
  </si>
  <si>
    <t>soap_bring</t>
  </si>
  <si>
    <t>toothbrush_bring</t>
  </si>
  <si>
    <t>toothpaste_bring</t>
  </si>
  <si>
    <t>cleaning_bring</t>
  </si>
  <si>
    <t>pads_canteen</t>
  </si>
  <si>
    <t>pads_clinic</t>
  </si>
  <si>
    <t>pads_guidance</t>
  </si>
  <si>
    <t>pads_others</t>
  </si>
  <si>
    <t>pads_disposal</t>
  </si>
  <si>
    <t>mhm_iec_teacher</t>
  </si>
  <si>
    <t>mhm_iec_student</t>
  </si>
  <si>
    <t>rest_space</t>
  </si>
  <si>
    <t>deworming_semi</t>
  </si>
  <si>
    <t>deworming_number</t>
  </si>
  <si>
    <t>handwashing_after_cleaning</t>
  </si>
  <si>
    <t>organized_structures</t>
  </si>
  <si>
    <t>inset</t>
  </si>
  <si>
    <t>learning_materials</t>
  </si>
  <si>
    <t>advocate_gpta</t>
  </si>
  <si>
    <t>advocate_activity</t>
  </si>
  <si>
    <t>extra_curricular</t>
  </si>
  <si>
    <t>hygiene_bulletin</t>
  </si>
  <si>
    <t>hygiene_classroom</t>
  </si>
  <si>
    <t>hygiene_toilet</t>
  </si>
  <si>
    <t>hygiene_handwashing</t>
  </si>
  <si>
    <t>hygiene_canteen</t>
  </si>
  <si>
    <t>mhm_bulletin</t>
  </si>
  <si>
    <t>mhm_classroom</t>
  </si>
  <si>
    <t>mhm_toilet</t>
  </si>
  <si>
    <t>mhm_handwashing</t>
  </si>
  <si>
    <t>mhm_canteen</t>
  </si>
  <si>
    <t>sanitation_bulletin</t>
  </si>
  <si>
    <t>sanitation_classroom</t>
  </si>
  <si>
    <t>sanitation_toilet</t>
  </si>
  <si>
    <t>sanitation_handwashing</t>
  </si>
  <si>
    <t>sanitation_canteen</t>
  </si>
  <si>
    <t>food_bulletin</t>
  </si>
  <si>
    <t>food_classroom</t>
  </si>
  <si>
    <t>food_toilet</t>
  </si>
  <si>
    <t>food_handwashing</t>
  </si>
  <si>
    <t>food_canteen</t>
  </si>
  <si>
    <t>Gyms/Stage</t>
  </si>
  <si>
    <t>What is the total number of water outlets in all the group handwashing facilities?</t>
  </si>
  <si>
    <t>Class Adviser/Teacher</t>
  </si>
  <si>
    <t>Are there DepEd Approved Instructional materials on Menstrual Health for Teachers?</t>
  </si>
  <si>
    <t>Are there DepEd Approved Information, Education and Communications (IEC) materials on Menstrual Health for Students?</t>
  </si>
  <si>
    <t>What is the total number of students dewormed?</t>
  </si>
  <si>
    <t>Bulletin board</t>
  </si>
  <si>
    <t>Is WinS part of the co/extra-curricular program for students?</t>
  </si>
  <si>
    <t>water_filtered</t>
  </si>
  <si>
    <t>Water from an accessible water source is boiled</t>
  </si>
  <si>
    <t>Water from an accessible water source is filtered</t>
  </si>
  <si>
    <t>handwashing_teacher_led</t>
  </si>
  <si>
    <t>handwashing_student_assisted</t>
  </si>
  <si>
    <t>handwashing_student_led</t>
  </si>
  <si>
    <t>water_outlets</t>
  </si>
  <si>
    <t>toothbrushing_teacher_led</t>
  </si>
  <si>
    <t>toothbrushing_student_assisted</t>
  </si>
  <si>
    <t>toothbrushing_student_led</t>
  </si>
  <si>
    <t>pads_teacher</t>
  </si>
  <si>
    <t>water_drinking_none</t>
  </si>
  <si>
    <t>Yes, but supply is not regular</t>
  </si>
  <si>
    <t>water_drinking_all_time</t>
  </si>
  <si>
    <t>water_drinking_not_regular</t>
  </si>
  <si>
    <t>water_cleaning_certain_hours</t>
  </si>
  <si>
    <t>water_cleaning_certain_days</t>
  </si>
  <si>
    <t>toilet_cleaned_daily</t>
  </si>
  <si>
    <t>toilet_cleaned_twice_week</t>
  </si>
  <si>
    <t>toilet_cleaned_once_week</t>
  </si>
  <si>
    <t>toilet_cleaned_less_once</t>
  </si>
  <si>
    <t>garbage_collection_daily</t>
  </si>
  <si>
    <t>garbage_collection_two_week</t>
  </si>
  <si>
    <t>garbage_collection_one_week</t>
  </si>
  <si>
    <t>garbage_collection_none</t>
  </si>
  <si>
    <t>handlers_oriented_all</t>
  </si>
  <si>
    <t>handlers_oriented_some</t>
  </si>
  <si>
    <t>handlers_oriented_none</t>
  </si>
  <si>
    <t>septic_tank_all</t>
  </si>
  <si>
    <t>septic_tank_some</t>
  </si>
  <si>
    <t>septic_tank_none</t>
  </si>
  <si>
    <t>compost_pit</t>
  </si>
  <si>
    <t>Water</t>
  </si>
  <si>
    <t>Overall rating</t>
  </si>
  <si>
    <t>Water Indicators</t>
  </si>
  <si>
    <t>Water for Cleaning</t>
  </si>
  <si>
    <t>Water Testing</t>
  </si>
  <si>
    <t>Sanitation Indicators</t>
  </si>
  <si>
    <t>Security of Toilets</t>
  </si>
  <si>
    <t>Wash Facility for Toilets</t>
  </si>
  <si>
    <t>Wash Facility for MHM</t>
  </si>
  <si>
    <t>Safety of Detached Toilets</t>
  </si>
  <si>
    <t>Toilets for Disabled</t>
  </si>
  <si>
    <t>Daily Cleaning of Toilets</t>
  </si>
  <si>
    <t>Funding for Repairs</t>
  </si>
  <si>
    <t>Garbage Collection</t>
  </si>
  <si>
    <t>Septic Tank</t>
  </si>
  <si>
    <t>Drainage</t>
  </si>
  <si>
    <t>Food Handlers</t>
  </si>
  <si>
    <t>Hygiene Indicators</t>
  </si>
  <si>
    <t>Funding of Supplies</t>
  </si>
  <si>
    <t>Sanitary Pads</t>
  </si>
  <si>
    <t>IEC Materials for MHM</t>
  </si>
  <si>
    <t>Rest Space for MHM</t>
  </si>
  <si>
    <t>Deworming Indicators</t>
  </si>
  <si>
    <t>Semi-annual Deworming</t>
  </si>
  <si>
    <t>Pupils Dewormed</t>
  </si>
  <si>
    <t>IEC Materials</t>
  </si>
  <si>
    <t>Learning Materials</t>
  </si>
  <si>
    <t xml:space="preserve">Organized Teams </t>
  </si>
  <si>
    <t>INSET</t>
  </si>
  <si>
    <t>Advocacy for Parents</t>
  </si>
  <si>
    <t>Health Education Indicators</t>
  </si>
  <si>
    <t>WINS 3-STAR REPORT FOR SCHOOLS</t>
  </si>
  <si>
    <t>Waste Segre gation</t>
  </si>
  <si>
    <t>Available Soap</t>
  </si>
  <si>
    <t>Disposal of Sanitary Pads</t>
  </si>
  <si>
    <t>Extra Curricular Activities</t>
  </si>
  <si>
    <t>WINS 3-STAR CHARTS FOR SCHOOLS</t>
  </si>
  <si>
    <t>Grp Tooth brushing Activity</t>
  </si>
  <si>
    <t>Available Toothbrush &amp; paste</t>
  </si>
  <si>
    <t>Repair &amp; Main tenance</t>
  </si>
  <si>
    <t>Grp Handwash Activity</t>
  </si>
  <si>
    <t>Grp Handwash Facility</t>
  </si>
  <si>
    <t>Individual Handwash Facility</t>
  </si>
  <si>
    <t>Individual Handwash Practice</t>
  </si>
  <si>
    <t>Safe Drinking Water</t>
  </si>
  <si>
    <t>WINS 3-STAR MATRIX FOR SCHOOLS</t>
  </si>
  <si>
    <t>No Burning of Waste</t>
  </si>
  <si>
    <t>System for Flood</t>
  </si>
  <si>
    <t>Segre gated Bins</t>
  </si>
  <si>
    <r>
      <rPr>
        <sz val="11"/>
        <color rgb="FF00B0F0"/>
        <rFont val="Wingdings"/>
        <charset val="2"/>
      </rPr>
      <t>n</t>
    </r>
    <r>
      <rPr>
        <sz val="11"/>
        <color rgb="FF00B0F0"/>
        <rFont val="Calibri"/>
        <family val="2"/>
      </rPr>
      <t xml:space="preserve"> </t>
    </r>
    <r>
      <rPr>
        <sz val="11"/>
        <rFont val="Calibri"/>
        <family val="2"/>
      </rPr>
      <t>3 Stars</t>
    </r>
  </si>
  <si>
    <r>
      <rPr>
        <sz val="11"/>
        <color rgb="FF00CC00"/>
        <rFont val="Wingdings"/>
        <charset val="2"/>
      </rPr>
      <t>n</t>
    </r>
    <r>
      <rPr>
        <sz val="11"/>
        <color theme="1"/>
        <rFont val="Calibri"/>
        <family val="2"/>
      </rPr>
      <t xml:space="preserve"> 2 Stars</t>
    </r>
  </si>
  <si>
    <r>
      <rPr>
        <sz val="11"/>
        <color rgb="FFFFFF00"/>
        <rFont val="Wingdings"/>
        <charset val="2"/>
      </rPr>
      <t>n</t>
    </r>
    <r>
      <rPr>
        <sz val="11"/>
        <color theme="1"/>
        <rFont val="Calibri"/>
        <family val="2"/>
      </rPr>
      <t xml:space="preserve"> 1 Star</t>
    </r>
  </si>
  <si>
    <t>Legend</t>
  </si>
  <si>
    <r>
      <rPr>
        <sz val="11"/>
        <color rgb="FFFF0000"/>
        <rFont val="Wingdings"/>
        <charset val="2"/>
      </rPr>
      <t>n</t>
    </r>
    <r>
      <rPr>
        <sz val="11"/>
        <color theme="1"/>
        <rFont val="Calibri"/>
        <family val="2"/>
      </rPr>
      <t xml:space="preserve"> 0 Star</t>
    </r>
  </si>
  <si>
    <t xml:space="preserve">Remove Color </t>
  </si>
  <si>
    <t>Functional</t>
  </si>
  <si>
    <t>Not Functional</t>
  </si>
  <si>
    <t>Are toilets secure, private and have door with lock?</t>
  </si>
  <si>
    <t>Do toilets have lighting?</t>
  </si>
  <si>
    <t>Do toilets have adequate ventilation?</t>
  </si>
  <si>
    <t>toilet_light</t>
  </si>
  <si>
    <t>toilet_ventilation</t>
  </si>
  <si>
    <t>toilet_male_functional</t>
  </si>
  <si>
    <t>toilet_female_functional</t>
  </si>
  <si>
    <t>toilet_shared_functional</t>
  </si>
  <si>
    <t>toilet_male_notfunctional</t>
  </si>
  <si>
    <t>toilet_female_notfunctional</t>
  </si>
  <si>
    <t>toilet_shared_notfunctional</t>
  </si>
  <si>
    <t>W.S1-1. Safe drinking water is not provided by the school. Children are required to bring their own drinking water</t>
  </si>
  <si>
    <t xml:space="preserve">W.S2-1. Safe drinking water is provided by the school but supply is not regular. </t>
  </si>
  <si>
    <t>W.S3-1. Safe drinking water is provided for free for all children in the school at all times</t>
  </si>
  <si>
    <t>W.S1-2. The school coordinates with the relevant agency/office to test the quality of water.</t>
  </si>
  <si>
    <t>W.S2-2. The quality of water is tested once every calendar year in coordination with the relevant agency/office.</t>
  </si>
  <si>
    <t>W.S3-2. The quality of water is tested more than once every calendar year in coordination with the relevant agency/office.</t>
  </si>
  <si>
    <t xml:space="preserve">W.S1-3. Regardless of source, water for cleaning is available only for certain days of the week </t>
  </si>
  <si>
    <t>W.S2-3. Regardless of source, water for cleaning is available on a daily basis but only on certain hours of the day.</t>
  </si>
  <si>
    <t>W.S3-3. Regardless of source, water for cleaning is available on a daily basis in all school hours</t>
  </si>
  <si>
    <t xml:space="preserve">S.S1-1. The overall pupil to toilet seat ratio is 101 or higher and there are at least two functional and clean toilets that are gender segregated </t>
  </si>
  <si>
    <t>S.S2-1. The overall pupil to toilet seat ratio is 51-100 students and there are more than two functional and clean toilets that are gender segregated as needed based on enrolment</t>
  </si>
  <si>
    <t>S.S3-1. The functional pupil to toilet seat ratio (by gender) is 50 or less</t>
  </si>
  <si>
    <t xml:space="preserve">S.S1-2. Toilets are secure, private, with door and lock, have lighting, adequate ventilation and wrapping materials for used pads </t>
  </si>
  <si>
    <t xml:space="preserve">S.S2-2. Toilets are secure, private, with door and lock, have lighting, adequate ventilation and wrapping materials for used pads </t>
  </si>
  <si>
    <t xml:space="preserve">S.S3-2. Toilets are secure, private, with door and lock, have lighting, adequate ventilation and wrapping materials for used pads </t>
  </si>
  <si>
    <t xml:space="preserve">S.S2-3. There is a handwashing facility with soap within or near the toilets </t>
  </si>
  <si>
    <t xml:space="preserve">S.S3-3. There is a handwashing facility with soap within or near the toilets </t>
  </si>
  <si>
    <t>S.S2-4. There is a facility for washing IN at least one female toilet for MHM</t>
  </si>
  <si>
    <t>S.S3-4. There is a facility for washing IN female toilets for MHM</t>
  </si>
  <si>
    <t>S.S2-5. Detached Toilets are located within view of school building and people</t>
  </si>
  <si>
    <t>S.S3-5. Detached Toilets are located within view of school building and people</t>
  </si>
  <si>
    <t>S.S3-6. There is a toilet accessible to persons with limited mobility</t>
  </si>
  <si>
    <t xml:space="preserve">S.S1-7. Daily cleaning of toilets, and handwashing and other water facilities </t>
  </si>
  <si>
    <t xml:space="preserve">S.S2-7. Daily cleaning of toilets, and handwashing and other water facilities </t>
  </si>
  <si>
    <t xml:space="preserve">S.S3-7. Daily cleaning of toilets, and handwashing and other water facilities </t>
  </si>
  <si>
    <t xml:space="preserve">S.S1-8. Funding for regular maintenance and repair of toilets, handwashing and other water facilities comes from the regular school budget (i.e. MOOE) and/or other DepEd funds </t>
  </si>
  <si>
    <t>S.S2-8. Funding for regular maintenance and repair of toilets, handwashing and other water facilities comes from the regular school budget (i.e. MOOE) and/or other DepEd funds</t>
  </si>
  <si>
    <t>S.S3-8. Funding for regular maintenance and repair of toilets, handwashing and other water facilities comes from the regular school budget (i.e. MOOE) and/or other DepEd funds</t>
  </si>
  <si>
    <t>S.S1-9.   No burning of waste</t>
  </si>
  <si>
    <t xml:space="preserve">S.S2-9.   No burning of waste </t>
  </si>
  <si>
    <t>S.S3-9.   No burning of waste</t>
  </si>
  <si>
    <t>S.S1-10. Segregated trash bins with cover are available in all classrooms</t>
  </si>
  <si>
    <t xml:space="preserve">S.S2-10. Segregated trash bins with cover are available in all classrooms and toilets </t>
  </si>
  <si>
    <t>S.S3-10. Segregated trash bins with cover are available in all classrooms, toilets, canteens, offices, clinics, play areas, gardens, hallways, and gyms</t>
  </si>
  <si>
    <t>S.S1-11. Waste segregation is practiced</t>
  </si>
  <si>
    <t>S.S2-11. Waste segregation is practiced</t>
  </si>
  <si>
    <t>S.S3-11. Comprehensive waste segregation system is in place, such as policy, facility and practice, and sanctions for non-compliance</t>
  </si>
  <si>
    <t>S.S1-12. No garbage collection services BUT school has compost facility for biodegradable waste and safe disposal of non-biodegradable waste such as properly fenced refuse pits (burying).</t>
  </si>
  <si>
    <t>S.S2-12. Garbage is collected at least once a week OR school has compost facility for biodegradable waste and safe disposal of non-biodegradable waste such as properly fenced refuse pits (burying).</t>
  </si>
  <si>
    <t>S.S3-12. Garbage is collected at least twice a week OR a school has compost facility for biodegradable waste and materials recovery facility (MRF) for recyclable waste.</t>
  </si>
  <si>
    <t>S.S1-13. Functional Septic tank is available for all toilets</t>
  </si>
  <si>
    <t>S.S2-13. Functional Septic tank is available for all toilets</t>
  </si>
  <si>
    <t>S.S3-13. Functional Septic tank is available for all toilets</t>
  </si>
  <si>
    <t>S.S1-14. Functional drainage from kitchen and wash areas to ensure that there is no stagnant water in the school</t>
  </si>
  <si>
    <t>S.S2-14. Functional drainage from kitchen and wash areas to ensure that there is no stagnant water in the school</t>
  </si>
  <si>
    <t xml:space="preserve">S.S3-14. Functional drainage from kitchen and wash areas to ensure that there is no stagnant water in the school </t>
  </si>
  <si>
    <t>S.S3-15. In case the school is in a flood prone area, a system(policy, practices, people, process, &amp;structure)is in place to ensure that there is no stagnant water in the school.</t>
  </si>
  <si>
    <t>S.S1-16. All food handlers are oriented and practice food safety measures</t>
  </si>
  <si>
    <t>S.S2-16. All food handlers should have a health certificate</t>
  </si>
  <si>
    <t>S.S3-16. All food handlers should have a health certificate and for schools with canteen, an updated sanitary permit</t>
  </si>
  <si>
    <t>H.S1-1. Daily SUPERVISED group handwashing with soap for all elementary pupils is led by teacher/s</t>
  </si>
  <si>
    <t xml:space="preserve">H.S2-1. Daily SUPERVISED group handwashing with soap for all elementary pupils is led by  a mix of teachers and students </t>
  </si>
  <si>
    <t>H.S3-1. Daily SUPERVISED group handwashing with soap for all elementary pupils is led by student leaders</t>
  </si>
  <si>
    <t>H.S1-2. Regular supply of soap for handwashing</t>
  </si>
  <si>
    <t>H.S2-2. Regular supply of soap for handwashing</t>
  </si>
  <si>
    <t>H.S3-2. Regular supply of soap for handwashing</t>
  </si>
  <si>
    <t>H.S1-3. At least one functional group handwashing  facility with soap</t>
  </si>
  <si>
    <t>H.S2-3. Pupil to group handwashing facility with soap ratio of 1:200 for one shift</t>
  </si>
  <si>
    <t xml:space="preserve">H.S3-3. Pupil to group facility with soap ratio of 1:100 for one shift </t>
  </si>
  <si>
    <t>H.S3-4. There are individual handwashing facilities with soap in strategic areas in the school (e.g. near canteen/eating areas, play areas and toilets)</t>
  </si>
  <si>
    <t>H.S3-5. The practice of individual handwashing with soap is done during critical times</t>
  </si>
  <si>
    <t>H.S1-6. Daily SUPERVISED activity of tooth brushing with fluoride toothpaste for all children is led by teacher/s</t>
  </si>
  <si>
    <t xml:space="preserve">H.S2-6. Daily SUPERVISED activity of tooth brushing with fluoride toothpaste for all children is led by a mix of teachers and students </t>
  </si>
  <si>
    <t>H.S3-6. Daily SUPERVISED activity of tooth brushing with fluoride toothpaste for all children is led by student leaders</t>
  </si>
  <si>
    <t xml:space="preserve">H.S1-7. Regular supply of fluoride toothpaste for the tooth brushing activity </t>
  </si>
  <si>
    <t>H.S2-7. Regular supply of fluoride toothpaste for the tooth brushing activity</t>
  </si>
  <si>
    <t>H.S3-7. Regular supply of fluoride toothpaste for the tooth brushing activity</t>
  </si>
  <si>
    <t xml:space="preserve">H.S1-8. Repair and maintenance requirements are reflected in the School Improvement Plan (SIP) and Annual Improvement Plan (AIP) </t>
  </si>
  <si>
    <t>H.S2-8. Repair and maintenance requirements are reflected in the School Improvement Plan (SIP) and Annual Improvement Plan (AIP)</t>
  </si>
  <si>
    <t>H.S3-8. Repair and maintenance requirements are reflected in the School Improvement Plan (SIP) and Annual Improvement Plan (AIP)</t>
  </si>
  <si>
    <t>H.S1-9. Soap, toothbrush and toothpaste are provided by the school through DepEd funds only (ie. MOOE)</t>
  </si>
  <si>
    <t>H.S2-9. Soap, toothbrush and toothpaste are provided by the school through DepEd funds complemented by external partners</t>
  </si>
  <si>
    <t>H.S3-9. Soap, toothbrush and toothpaste are provided by the school through DepEd funds complemented by external partners</t>
  </si>
  <si>
    <t>H.S1-10. Sanitary pads are accessible in the school</t>
  </si>
  <si>
    <t>H.S2-10. Sanitary pads are accessible in the school</t>
  </si>
  <si>
    <t>H.S3-10. Sanitary pads are accessible in the school</t>
  </si>
  <si>
    <t>H.S2-11. There is information on proper disposal of sanitary pads in the girls toilet</t>
  </si>
  <si>
    <t>H.S3-11. There is information on proper disposal of sanitary pads in the girls toilet</t>
  </si>
  <si>
    <t>H.S2-12. DepEd approved IEC materials on menstrual hygiene management for teachers are available</t>
  </si>
  <si>
    <t>H.S3-12. DepEd approved IEC materials on menstrual hygiene management for teachers and students are available</t>
  </si>
  <si>
    <t>H.S3-13. There is a rest space/changing room for MHM that is secure, private and comfortable (not necessarily in the CR)</t>
  </si>
  <si>
    <t>D.S1-2. 50-74 %of school students were dewormed</t>
  </si>
  <si>
    <t>D.S2-2. 75-84% of school students were dewormed</t>
  </si>
  <si>
    <t>D.S3-2. At least 85% of school students were dewormed</t>
  </si>
  <si>
    <t>HE.S1-1. IEC materials are present only in the schoolboard or wall</t>
  </si>
  <si>
    <t>HE.S2-1. IEC materials are present in classrooms and strategic places (eg. canteen, play areas, toilets, handwashing facilities, etc.)</t>
  </si>
  <si>
    <t>HE.S3-1. IEC materials are present in classrooms and strategic places (eg. canteen, play areas, toilets, handwashing facilities, etc.)</t>
  </si>
  <si>
    <t xml:space="preserve">HE.S1-2. There are organized teams and accountable units to promote WinS (e.g. TWGs, student clubs) </t>
  </si>
  <si>
    <t>HE.S2-2. There are organized teams and accountable units to promote WinS (e.g. TWGs, student clubs)</t>
  </si>
  <si>
    <t>HE.S3-2. There are organized teams and accountable units to promote WinS (e.g. TWGs, student clubs)</t>
  </si>
  <si>
    <t>HE.S2-3. WinS is part of INSET</t>
  </si>
  <si>
    <t>HE.S3-3. WinS is part of INSET</t>
  </si>
  <si>
    <t>HE.S3-4. Available WinS learning / instructional materials in support of teaching WinS in the K to 12 curriculum</t>
  </si>
  <si>
    <t>HE.S2-5. Advocacy is done during GPTA assembly</t>
  </si>
  <si>
    <t xml:space="preserve">HE.S3-5. There are planned and organized activities for parents/stakeholders for learning and advocating WinS </t>
  </si>
  <si>
    <t>HE.S2-6. WinS is part of the extra-curricular program of students</t>
  </si>
  <si>
    <t>HE.S3-6. WinS is part of the extra-curricular program of students</t>
  </si>
  <si>
    <t>Pupil Toilet Ratio</t>
  </si>
  <si>
    <t xml:space="preserve">Segre gated Toilets </t>
  </si>
  <si>
    <t>D.S1-1. Deworming is done semi-annually, in the presence of a health personnel, in coordination with DOH, and with parent’s consent</t>
  </si>
  <si>
    <t>D.S2-1. Deworming is done semi-annually, in the presence of a health personnel, in coordination with DOH, and with parent’s consent</t>
  </si>
  <si>
    <t>D.S3-1. Deworming is done semi-annually, in the presence of a health personnel, in coordination with DOH, and with parent’s consent</t>
  </si>
  <si>
    <t>2016-12-19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</si>
</sst>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19" x14ac:knownFonts="1">
    <font>
      <sz val="11"/>
      <color theme="1"/>
      <name val="Calibri"/>
      <family val="2"/>
      <scheme val="minor"/>
    </font>
    <font>
      <b/>
      <sz val="11"/>
      <color theme="1"/>
      <name val="Calibri"/>
      <family val="2"/>
      <scheme val="minor"/>
    </font>
    <font>
      <b/>
      <sz val="16"/>
      <color theme="1"/>
      <name val="Calibri"/>
      <family val="2"/>
      <scheme val="minor"/>
    </font>
    <font>
      <i/>
      <sz val="11"/>
      <color rgb="FFFF0000"/>
      <name val="Calibri"/>
      <family val="2"/>
      <scheme val="minor"/>
    </font>
    <font>
      <sz val="11"/>
      <color theme="1"/>
      <name val="Wingdings"/>
      <charset val="2"/>
    </font>
    <font>
      <sz val="11"/>
      <color theme="0"/>
      <name val="Calibri"/>
      <family val="2"/>
      <scheme val="minor"/>
    </font>
    <font>
      <b/>
      <sz val="11"/>
      <name val="Calibri"/>
      <family val="2"/>
      <scheme val="minor"/>
    </font>
    <font>
      <b/>
      <sz val="12"/>
      <color theme="1"/>
      <name val="Calibri"/>
      <family val="2"/>
      <scheme val="minor"/>
    </font>
    <font>
      <sz val="11"/>
      <color theme="1"/>
      <name val="Calibri"/>
      <family val="2"/>
    </font>
    <font>
      <sz val="11"/>
      <color rgb="FF00B0F0"/>
      <name val="Wingdings"/>
      <charset val="2"/>
    </font>
    <font>
      <sz val="11"/>
      <color rgb="FF00B0F0"/>
      <name val="Calibri"/>
      <family val="2"/>
    </font>
    <font>
      <sz val="11"/>
      <name val="Calibri"/>
      <family val="2"/>
    </font>
    <font>
      <sz val="11"/>
      <color rgb="FF00CC00"/>
      <name val="Wingdings"/>
      <charset val="2"/>
    </font>
    <font>
      <sz val="11"/>
      <color rgb="FFFFFF00"/>
      <name val="Wingdings"/>
      <charset val="2"/>
    </font>
    <font>
      <sz val="11"/>
      <color rgb="FFFF0000"/>
      <name val="Wingdings"/>
      <charset val="2"/>
    </font>
    <font>
      <u/>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rgb="FFF5F6CE"/>
        <bgColor indexed="64"/>
      </patternFill>
    </fill>
    <fill>
      <patternFill patternType="solid">
        <fgColor theme="0"/>
        <bgColor indexed="64"/>
      </patternFill>
    </fill>
    <fill>
      <patternFill patternType="solid">
        <fgColor rgb="FFFFC000"/>
        <bgColor indexed="64"/>
      </patternFill>
    </fill>
    <fill>
      <patternFill patternType="solid">
        <fgColor theme="2" tint="-0.499984740745262"/>
        <bgColor indexed="64"/>
      </patternFill>
    </fill>
    <fill>
      <patternFill patternType="solid">
        <fgColor rgb="FF04508C"/>
        <bgColor indexed="64"/>
      </patternFill>
    </fill>
    <fill>
      <patternFill patternType="solid">
        <fgColor theme="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146">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left" vertical="top" wrapText="1"/>
    </xf>
    <xf numFmtId="0" fontId="0" fillId="2" borderId="1" xfId="0" applyFill="1" applyBorder="1" applyAlignment="1">
      <alignment vertical="top"/>
    </xf>
    <xf numFmtId="0" fontId="0" fillId="3" borderId="1" xfId="0" applyNumberFormat="1" applyFill="1" applyBorder="1" applyAlignment="1" applyProtection="1">
      <alignment vertical="top"/>
      <protection locked="0"/>
    </xf>
    <xf numFmtId="0" fontId="0" fillId="2" borderId="0" xfId="0" applyFill="1" applyAlignment="1">
      <alignment vertical="top"/>
    </xf>
    <xf numFmtId="0" fontId="3" fillId="2" borderId="0" xfId="0" applyFont="1" applyFill="1" applyAlignment="1">
      <alignment vertical="top"/>
    </xf>
    <xf numFmtId="0" fontId="0" fillId="2" borderId="0" xfId="0" applyFill="1" applyBorder="1" applyAlignment="1">
      <alignment vertical="top"/>
    </xf>
    <xf numFmtId="0" fontId="1" fillId="2" borderId="0" xfId="0" applyFont="1" applyFill="1" applyAlignment="1">
      <alignment vertical="top"/>
    </xf>
    <xf numFmtId="0" fontId="0" fillId="2" borderId="0" xfId="0" applyFill="1" applyAlignment="1">
      <alignment vertical="top"/>
    </xf>
    <xf numFmtId="0" fontId="1" fillId="2" borderId="0" xfId="0" applyFont="1" applyFill="1" applyBorder="1" applyAlignment="1">
      <alignment vertical="top"/>
    </xf>
    <xf numFmtId="0" fontId="0" fillId="2" borderId="1" xfId="0" applyFill="1" applyBorder="1" applyAlignment="1">
      <alignment horizontal="center" vertical="top" wrapText="1"/>
    </xf>
    <xf numFmtId="0" fontId="4" fillId="0" borderId="0" xfId="0" applyFont="1" applyAlignment="1">
      <alignment vertical="top"/>
    </xf>
    <xf numFmtId="0" fontId="0" fillId="4" borderId="2" xfId="0" applyFill="1" applyBorder="1" applyAlignment="1">
      <alignment horizontal="left" vertical="top" wrapText="1"/>
    </xf>
    <xf numFmtId="0" fontId="0" fillId="0" borderId="0" xfId="0" applyAlignment="1">
      <alignment horizontal="center" vertical="top"/>
    </xf>
    <xf numFmtId="0" fontId="1" fillId="0" borderId="0" xfId="0" applyFont="1" applyFill="1" applyAlignment="1">
      <alignment vertical="top"/>
    </xf>
    <xf numFmtId="0" fontId="0" fillId="0" borderId="0" xfId="0" applyFill="1" applyAlignment="1">
      <alignment vertical="top"/>
    </xf>
    <xf numFmtId="0" fontId="1" fillId="0" borderId="0" xfId="0" applyFont="1" applyFill="1" applyBorder="1" applyAlignment="1">
      <alignment vertical="top"/>
    </xf>
    <xf numFmtId="0" fontId="1" fillId="0" borderId="0" xfId="0" applyFont="1" applyFill="1" applyAlignment="1">
      <alignment horizontal="right" vertical="top"/>
    </xf>
    <xf numFmtId="0" fontId="1" fillId="0" borderId="0" xfId="0" applyFont="1" applyFill="1" applyBorder="1" applyAlignment="1">
      <alignment horizontal="right" vertical="top"/>
    </xf>
    <xf numFmtId="3" fontId="1" fillId="0" borderId="1" xfId="0" applyNumberFormat="1" applyFont="1" applyFill="1" applyBorder="1" applyAlignment="1">
      <alignment horizontal="center" vertical="top" wrapText="1"/>
    </xf>
    <xf numFmtId="3" fontId="1" fillId="0" borderId="3" xfId="0" applyNumberFormat="1" applyFont="1" applyFill="1" applyBorder="1" applyAlignment="1">
      <alignment horizontal="centerContinuous" vertical="top" wrapText="1"/>
    </xf>
    <xf numFmtId="3" fontId="1" fillId="0" borderId="2" xfId="0" applyNumberFormat="1" applyFont="1" applyFill="1" applyBorder="1" applyAlignment="1">
      <alignment horizontal="centerContinuous" vertical="top" wrapText="1"/>
    </xf>
    <xf numFmtId="0" fontId="1" fillId="0" borderId="1" xfId="0" applyFont="1" applyFill="1" applyBorder="1" applyAlignment="1">
      <alignment horizontal="center" vertical="top"/>
    </xf>
    <xf numFmtId="0" fontId="0" fillId="0" borderId="6" xfId="0" applyFill="1" applyBorder="1" applyAlignment="1">
      <alignment vertical="top" wrapText="1"/>
    </xf>
    <xf numFmtId="0" fontId="0" fillId="0" borderId="2" xfId="0" applyFill="1" applyBorder="1" applyAlignment="1">
      <alignment horizontal="left" vertical="top" wrapText="1"/>
    </xf>
    <xf numFmtId="0" fontId="0" fillId="0" borderId="2" xfId="0" applyFill="1" applyBorder="1" applyAlignment="1">
      <alignment vertical="top" wrapText="1"/>
    </xf>
    <xf numFmtId="0" fontId="0" fillId="0" borderId="7" xfId="0" applyFill="1" applyBorder="1" applyAlignment="1">
      <alignmen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5" xfId="0" applyFont="1" applyFill="1" applyBorder="1" applyAlignment="1">
      <alignment vertical="top" wrapText="1"/>
    </xf>
    <xf numFmtId="0" fontId="1" fillId="0" borderId="0" xfId="0" applyNumberFormat="1" applyFont="1" applyFill="1" applyAlignment="1">
      <alignment vertical="top"/>
    </xf>
    <xf numFmtId="0" fontId="1" fillId="0" borderId="0" xfId="0" applyFont="1" applyFill="1" applyAlignment="1">
      <alignment horizontal="centerContinuous" vertical="top"/>
    </xf>
    <xf numFmtId="0" fontId="0" fillId="0" borderId="0" xfId="0" applyFill="1" applyAlignment="1">
      <alignment horizontal="centerContinuous" vertical="top"/>
    </xf>
    <xf numFmtId="0" fontId="1" fillId="0" borderId="0" xfId="0" applyFont="1"/>
    <xf numFmtId="0" fontId="0" fillId="4" borderId="1" xfId="0" applyFill="1" applyBorder="1" applyAlignment="1">
      <alignment vertical="top"/>
    </xf>
    <xf numFmtId="0" fontId="0" fillId="3" borderId="1" xfId="0" applyFill="1" applyBorder="1" applyAlignment="1">
      <alignment vertical="top"/>
    </xf>
    <xf numFmtId="0" fontId="0" fillId="5" borderId="1" xfId="0" applyFill="1" applyBorder="1" applyAlignment="1">
      <alignment vertical="top"/>
    </xf>
    <xf numFmtId="0" fontId="0" fillId="2" borderId="4" xfId="0" applyFill="1" applyBorder="1" applyAlignment="1">
      <alignment horizontal="left" vertical="top" wrapText="1" indent="2"/>
    </xf>
    <xf numFmtId="0" fontId="0" fillId="2" borderId="4" xfId="0" applyFill="1" applyBorder="1" applyAlignment="1">
      <alignment horizontal="left" vertical="top" wrapText="1"/>
    </xf>
    <xf numFmtId="0" fontId="0" fillId="2" borderId="4" xfId="0" applyFill="1" applyBorder="1" applyAlignment="1">
      <alignment vertical="top" wrapText="1"/>
    </xf>
    <xf numFmtId="0" fontId="0" fillId="2" borderId="2" xfId="0" applyFill="1" applyBorder="1" applyAlignment="1">
      <alignment vertical="top" wrapText="1"/>
    </xf>
    <xf numFmtId="0" fontId="0" fillId="2" borderId="4" xfId="0" applyFill="1" applyBorder="1" applyAlignment="1">
      <alignment vertical="top"/>
    </xf>
    <xf numFmtId="0" fontId="0" fillId="2" borderId="0" xfId="0" applyFill="1" applyAlignment="1">
      <alignment horizontal="left" vertical="top" wrapText="1"/>
    </xf>
    <xf numFmtId="0" fontId="0" fillId="2" borderId="0" xfId="0" applyFill="1" applyBorder="1" applyAlignment="1">
      <alignment horizontal="left" vertical="top" wrapText="1"/>
    </xf>
    <xf numFmtId="0" fontId="0" fillId="3" borderId="1" xfId="0" applyNumberFormat="1" applyFill="1" applyBorder="1" applyAlignment="1" applyProtection="1">
      <alignment vertical="top" wrapText="1"/>
      <protection locked="0"/>
    </xf>
    <xf numFmtId="165" fontId="1" fillId="2" borderId="0" xfId="0" applyNumberFormat="1" applyFont="1"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Border="1" applyAlignment="1">
      <alignment horizontal="left" vertical="top"/>
    </xf>
    <xf numFmtId="165" fontId="0" fillId="2" borderId="3" xfId="0" applyNumberFormat="1" applyFill="1" applyBorder="1" applyAlignment="1">
      <alignment horizontal="left" vertical="top" wrapText="1"/>
    </xf>
    <xf numFmtId="165" fontId="1" fillId="2" borderId="0" xfId="0" applyNumberFormat="1" applyFont="1" applyFill="1" applyBorder="1" applyAlignment="1">
      <alignment horizontal="left" vertical="top"/>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9" xfId="0" applyFill="1" applyBorder="1" applyAlignment="1">
      <alignment vertical="top" wrapText="1"/>
    </xf>
    <xf numFmtId="0" fontId="0" fillId="0" borderId="10" xfId="0" applyFill="1" applyBorder="1" applyAlignment="1">
      <alignment horizontal="left" vertical="top" wrapText="1"/>
    </xf>
    <xf numFmtId="0" fontId="0" fillId="0" borderId="10" xfId="0" applyFill="1" applyBorder="1" applyAlignment="1">
      <alignment vertical="top" wrapText="1"/>
    </xf>
    <xf numFmtId="0" fontId="0" fillId="4" borderId="0" xfId="0" applyFill="1" applyAlignment="1">
      <alignment horizontal="centerContinuous" vertical="top"/>
    </xf>
    <xf numFmtId="0" fontId="0" fillId="4" borderId="0" xfId="0" applyFill="1" applyAlignment="1">
      <alignment vertical="top"/>
    </xf>
    <xf numFmtId="0" fontId="1" fillId="4" borderId="0" xfId="0" applyFont="1" applyFill="1" applyBorder="1" applyAlignment="1">
      <alignment horizontal="right" vertical="top"/>
    </xf>
    <xf numFmtId="3" fontId="1" fillId="4" borderId="2" xfId="0" applyNumberFormat="1" applyFont="1" applyFill="1" applyBorder="1" applyAlignment="1">
      <alignment horizontal="centerContinuous"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0" fillId="4"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4"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0" xfId="0" applyFont="1" applyFill="1" applyBorder="1" applyAlignment="1">
      <alignment vertical="top" wrapText="1"/>
    </xf>
    <xf numFmtId="0" fontId="0" fillId="4" borderId="10" xfId="0" applyFont="1" applyFill="1" applyBorder="1" applyAlignment="1">
      <alignment horizontal="left" vertical="top" wrapText="1"/>
    </xf>
    <xf numFmtId="165" fontId="2" fillId="6" borderId="0" xfId="0" applyNumberFormat="1" applyFont="1" applyFill="1" applyAlignment="1">
      <alignment horizontal="left" vertical="top"/>
    </xf>
    <xf numFmtId="0" fontId="2" fillId="6" borderId="0" xfId="0" applyFont="1" applyFill="1" applyAlignment="1">
      <alignment vertical="top"/>
    </xf>
    <xf numFmtId="0" fontId="0" fillId="6" borderId="0" xfId="0" applyFill="1" applyAlignment="1">
      <alignment horizontal="left" vertical="top" wrapText="1"/>
    </xf>
    <xf numFmtId="0" fontId="0" fillId="6" borderId="0" xfId="0" applyFill="1" applyAlignment="1">
      <alignment vertical="top"/>
    </xf>
    <xf numFmtId="0" fontId="0" fillId="2" borderId="3" xfId="0" applyFill="1" applyBorder="1" applyAlignment="1">
      <alignment horizontal="left" vertical="top" wrapText="1"/>
    </xf>
    <xf numFmtId="165" fontId="0" fillId="2" borderId="3" xfId="0" applyNumberFormat="1" applyFill="1" applyBorder="1" applyAlignment="1">
      <alignment horizontal="left" vertical="top"/>
    </xf>
    <xf numFmtId="0" fontId="0" fillId="2" borderId="0" xfId="0" applyFill="1" applyAlignment="1">
      <alignment horizontal="left" vertical="top"/>
    </xf>
    <xf numFmtId="0" fontId="0" fillId="2" borderId="4" xfId="0" applyFill="1" applyBorder="1" applyAlignment="1">
      <alignment vertical="top" wrapText="1"/>
    </xf>
    <xf numFmtId="0" fontId="0" fillId="2" borderId="4" xfId="0" applyFill="1" applyBorder="1" applyAlignment="1">
      <alignment vertical="top" wrapText="1"/>
    </xf>
    <xf numFmtId="0" fontId="0" fillId="2" borderId="1" xfId="0" applyFill="1" applyBorder="1" applyAlignment="1">
      <alignment horizontal="center" vertical="top"/>
    </xf>
    <xf numFmtId="0" fontId="0" fillId="4" borderId="4" xfId="0" applyFill="1" applyBorder="1" applyAlignment="1">
      <alignment vertical="top"/>
    </xf>
    <xf numFmtId="0" fontId="0" fillId="3" borderId="3" xfId="0" applyFill="1" applyBorder="1" applyAlignment="1">
      <alignment vertical="top"/>
    </xf>
    <xf numFmtId="0" fontId="0" fillId="3" borderId="1" xfId="0" applyFill="1" applyBorder="1" applyAlignment="1" applyProtection="1">
      <alignment horizontal="center" vertical="top" wrapText="1"/>
      <protection locked="0"/>
    </xf>
    <xf numFmtId="3" fontId="0" fillId="2" borderId="1" xfId="0" applyNumberFormat="1" applyFill="1" applyBorder="1" applyAlignment="1">
      <alignment horizontal="center" vertical="top"/>
    </xf>
    <xf numFmtId="0" fontId="0" fillId="0" borderId="2" xfId="0" applyFont="1" applyFill="1" applyBorder="1" applyAlignment="1">
      <alignment horizontal="left" vertical="top" wrapText="1"/>
    </xf>
    <xf numFmtId="0" fontId="0" fillId="4" borderId="2" xfId="0" applyFont="1" applyFill="1" applyBorder="1" applyAlignment="1">
      <alignment horizontal="left" vertical="top" wrapText="1"/>
    </xf>
    <xf numFmtId="0" fontId="0" fillId="2" borderId="4" xfId="0" applyFill="1" applyBorder="1" applyAlignment="1">
      <alignment vertical="top" wrapText="1"/>
    </xf>
    <xf numFmtId="49" fontId="0" fillId="6" borderId="0" xfId="0" applyNumberFormat="1" applyFont="1" applyFill="1" applyAlignment="1">
      <alignment vertical="top"/>
    </xf>
    <xf numFmtId="49" fontId="2" fillId="6" borderId="0" xfId="0" applyNumberFormat="1" applyFont="1" applyFill="1" applyAlignment="1">
      <alignment vertical="top"/>
    </xf>
    <xf numFmtId="0" fontId="0" fillId="0" borderId="0" xfId="0" applyAlignment="1">
      <alignment horizontal="left" vertical="top"/>
    </xf>
    <xf numFmtId="49" fontId="0" fillId="0" borderId="0" xfId="0" applyNumberFormat="1" applyAlignment="1">
      <alignment vertical="top"/>
    </xf>
    <xf numFmtId="3" fontId="0" fillId="0" borderId="0" xfId="0" applyNumberFormat="1" applyAlignment="1">
      <alignment horizontal="left" vertical="top"/>
    </xf>
    <xf numFmtId="3" fontId="0" fillId="0" borderId="0" xfId="0" applyNumberFormat="1" applyAlignment="1">
      <alignment horizontal="left" vertical="top" wrapText="1"/>
    </xf>
    <xf numFmtId="0" fontId="0" fillId="3" borderId="3" xfId="0" applyFill="1" applyBorder="1" applyAlignment="1" applyProtection="1">
      <alignment horizontal="center" vertical="top" wrapText="1"/>
      <protection locked="0"/>
    </xf>
    <xf numFmtId="0" fontId="0" fillId="2" borderId="4" xfId="0" applyFill="1" applyBorder="1" applyAlignment="1">
      <alignment vertical="top" wrapText="1"/>
    </xf>
    <xf numFmtId="0" fontId="5" fillId="6" borderId="0" xfId="0" applyFont="1" applyFill="1" applyAlignment="1">
      <alignment vertical="top"/>
    </xf>
    <xf numFmtId="0" fontId="0" fillId="0" borderId="0" xfId="0" applyFont="1" applyFill="1" applyBorder="1" applyAlignment="1">
      <alignment horizontal="centerContinuous" vertical="top"/>
    </xf>
    <xf numFmtId="0" fontId="0" fillId="0" borderId="0" xfId="0" applyFont="1" applyFill="1" applyBorder="1" applyAlignment="1">
      <alignment vertical="top"/>
    </xf>
    <xf numFmtId="0" fontId="0" fillId="0" borderId="0" xfId="0" applyFont="1" applyFill="1" applyAlignment="1">
      <alignment horizontal="centerContinuous" vertical="top"/>
    </xf>
    <xf numFmtId="0" fontId="0" fillId="0" borderId="0" xfId="0" applyFont="1" applyFill="1" applyAlignment="1">
      <alignment vertical="top"/>
    </xf>
    <xf numFmtId="0" fontId="0" fillId="0" borderId="6"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8" xfId="0" applyFill="1" applyBorder="1" applyAlignment="1">
      <alignment vertical="top" wrapText="1"/>
    </xf>
    <xf numFmtId="3" fontId="0" fillId="0" borderId="0" xfId="0" applyNumberFormat="1"/>
    <xf numFmtId="0" fontId="6" fillId="0" borderId="0" xfId="0" applyFont="1" applyFill="1" applyAlignment="1">
      <alignment horizontal="center" vertical="top"/>
    </xf>
    <xf numFmtId="3" fontId="7" fillId="0" borderId="7" xfId="0" applyNumberFormat="1" applyFont="1" applyFill="1" applyBorder="1" applyAlignment="1">
      <alignment horizontal="center" vertical="top"/>
    </xf>
    <xf numFmtId="3" fontId="7" fillId="0" borderId="1" xfId="0" applyNumberFormat="1" applyFont="1" applyFill="1" applyBorder="1" applyAlignment="1">
      <alignment horizontal="center" vertical="top"/>
    </xf>
    <xf numFmtId="3" fontId="7" fillId="0" borderId="5" xfId="0" applyNumberFormat="1" applyFont="1" applyFill="1" applyBorder="1" applyAlignment="1">
      <alignment horizontal="center" vertical="top"/>
    </xf>
    <xf numFmtId="3" fontId="7" fillId="0" borderId="6" xfId="0" applyNumberFormat="1" applyFont="1" applyFill="1" applyBorder="1" applyAlignment="1">
      <alignment horizontal="center" vertical="top"/>
    </xf>
    <xf numFmtId="0" fontId="0" fillId="0" borderId="0" xfId="0" applyAlignment="1">
      <alignment horizontal="centerContinuous" vertical="top" wrapText="1"/>
    </xf>
    <xf numFmtId="0" fontId="0" fillId="0" borderId="1" xfId="0" applyFill="1" applyBorder="1" applyAlignment="1">
      <alignment horizontal="center" vertical="top" wrapText="1"/>
    </xf>
    <xf numFmtId="0" fontId="0" fillId="0" borderId="0" xfId="0" applyFill="1" applyAlignment="1">
      <alignment horizontal="center" vertical="top" wrapText="1"/>
    </xf>
    <xf numFmtId="0" fontId="0" fillId="7" borderId="1" xfId="0" applyFill="1" applyBorder="1" applyAlignment="1">
      <alignment horizontal="center" vertical="top" wrapText="1"/>
    </xf>
    <xf numFmtId="0" fontId="8" fillId="0" borderId="0" xfId="0" applyFont="1" applyAlignment="1">
      <alignment vertical="top" wrapText="1"/>
    </xf>
    <xf numFmtId="0" fontId="10" fillId="0" borderId="0" xfId="0" applyFont="1" applyAlignment="1">
      <alignment vertical="top" wrapText="1"/>
    </xf>
    <xf numFmtId="0" fontId="15" fillId="0" borderId="0" xfId="0" applyFont="1" applyAlignment="1">
      <alignment vertical="top" wrapText="1"/>
    </xf>
    <xf numFmtId="0" fontId="0" fillId="8" borderId="1" xfId="0" applyFill="1" applyBorder="1" applyAlignment="1">
      <alignment vertical="top"/>
    </xf>
    <xf numFmtId="0" fontId="5" fillId="0" borderId="7"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5" xfId="0" applyFont="1" applyFill="1" applyBorder="1" applyAlignment="1">
      <alignment horizontal="center" vertical="top" wrapText="1"/>
    </xf>
    <xf numFmtId="0" fontId="0" fillId="8" borderId="1" xfId="0" applyFill="1" applyBorder="1" applyAlignment="1" applyProtection="1">
      <alignment horizontal="center" vertical="top" wrapText="1"/>
      <protection locked="0"/>
    </xf>
    <xf numFmtId="0" fontId="0" fillId="2" borderId="4" xfId="0" applyFill="1" applyBorder="1" applyAlignment="1">
      <alignment vertical="top" wrapText="1"/>
    </xf>
    <xf numFmtId="0" fontId="16" fillId="0" borderId="0" xfId="0" applyFont="1" applyFill="1" applyAlignment="1">
      <alignment horizontal="center" vertical="top"/>
    </xf>
    <xf numFmtId="0" fontId="17" fillId="0" borderId="1" xfId="1" applyFont="1" applyFill="1" applyBorder="1" applyAlignment="1">
      <alignment horizontal="center" vertical="top" wrapText="1"/>
    </xf>
    <xf numFmtId="0" fontId="0" fillId="3" borderId="3" xfId="0" applyNumberFormat="1" applyFill="1" applyBorder="1" applyAlignment="1" applyProtection="1">
      <alignment horizontal="left" vertical="top" wrapText="1"/>
      <protection locked="0"/>
    </xf>
    <xf numFmtId="0" fontId="0" fillId="3" borderId="2" xfId="0" applyNumberFormat="1" applyFill="1" applyBorder="1" applyAlignment="1" applyProtection="1">
      <alignment horizontal="left" vertical="top" wrapText="1"/>
      <protection locked="0"/>
    </xf>
    <xf numFmtId="0" fontId="0" fillId="2" borderId="3" xfId="0" applyFill="1" applyBorder="1" applyAlignment="1">
      <alignment vertical="top" wrapText="1"/>
    </xf>
    <xf numFmtId="0" fontId="0" fillId="2" borderId="4" xfId="0" applyFill="1" applyBorder="1" applyAlignment="1">
      <alignment vertical="top" wrapText="1"/>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2" borderId="4" xfId="0"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2" borderId="2" xfId="0" applyFill="1" applyBorder="1" applyAlignment="1">
      <alignment vertical="top" wrapText="1"/>
    </xf>
    <xf numFmtId="0" fontId="0" fillId="3" borderId="3" xfId="0" applyNumberFormat="1" applyFill="1" applyBorder="1" applyAlignment="1" applyProtection="1">
      <alignment horizontal="left" vertical="top"/>
      <protection locked="0"/>
    </xf>
    <xf numFmtId="0" fontId="0" fillId="3" borderId="2" xfId="0" applyNumberFormat="1" applyFill="1" applyBorder="1" applyAlignment="1" applyProtection="1">
      <alignment horizontal="left" vertical="top"/>
      <protection locked="0"/>
    </xf>
    <xf numFmtId="164" fontId="0" fillId="0" borderId="3" xfId="0" applyNumberFormat="1" applyFill="1" applyBorder="1" applyAlignment="1" applyProtection="1">
      <alignment horizontal="left" vertical="top" wrapText="1"/>
      <protection locked="0"/>
    </xf>
    <xf numFmtId="164" fontId="0" fillId="0" borderId="2" xfId="0" applyNumberFormat="1" applyFill="1" applyBorder="1" applyAlignment="1" applyProtection="1">
      <alignment horizontal="left" vertical="top" wrapText="1"/>
      <protection locked="0"/>
    </xf>
    <xf numFmtId="49" fontId="0" fillId="3" borderId="3" xfId="0" applyNumberFormat="1" applyFill="1" applyBorder="1" applyAlignment="1" applyProtection="1">
      <alignment horizontal="left" vertical="top" wrapText="1"/>
      <protection locked="0"/>
    </xf>
    <xf numFmtId="49" fontId="0" fillId="3" borderId="2" xfId="0" applyNumberFormat="1" applyFill="1" applyBorder="1" applyAlignment="1" applyProtection="1">
      <alignment horizontal="left" vertical="top" wrapText="1"/>
      <protection locked="0"/>
    </xf>
    <xf numFmtId="0" fontId="0" fillId="7" borderId="6" xfId="0" applyFill="1" applyBorder="1" applyAlignment="1">
      <alignment horizontal="center" vertical="top" wrapText="1"/>
    </xf>
    <xf numFmtId="0" fontId="0" fillId="7" borderId="7" xfId="0" applyFill="1" applyBorder="1" applyAlignment="1">
      <alignment horizontal="center" vertical="top" wrapText="1"/>
    </xf>
    <xf numFmtId="0" fontId="0" fillId="7" borderId="5" xfId="0" applyFill="1" applyBorder="1" applyAlignment="1">
      <alignment horizontal="center" vertical="top" wrapText="1"/>
    </xf>
  </cellXfs>
  <cellStyles count="2">
    <cellStyle name="Hyperlink" xfId="1" builtinId="8"/>
    <cellStyle name="Normal" xfId="0" builtinId="0"/>
  </cellStyles>
  <dxfs count="41">
    <dxf>
      <fill>
        <patternFill>
          <bgColor rgb="FF00CC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00CC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CC00"/>
        </patternFill>
      </fill>
    </dxf>
    <dxf>
      <fill>
        <patternFill>
          <bgColor rgb="FFFFFF00"/>
        </patternFill>
      </fill>
    </dxf>
    <dxf>
      <fill>
        <patternFill>
          <bgColor rgb="FF00B0F0"/>
        </patternFill>
      </fill>
    </dxf>
    <dxf>
      <fill>
        <patternFill>
          <bgColor rgb="FFFF0000"/>
        </patternFill>
      </fill>
    </dxf>
    <dxf>
      <fill>
        <patternFill>
          <bgColor theme="1"/>
        </patternFill>
      </fill>
    </dxf>
  </dxfs>
  <tableStyles count="0" defaultTableStyle="TableStyleMedium9" defaultPivotStyle="PivotStyleLight16"/>
  <colors>
    <mruColors>
      <color rgb="FF0099FF"/>
      <color rgb="FFFF0000"/>
      <color rgb="FF00FFFF"/>
      <color rgb="FFFF6161"/>
      <color rgb="FF00CC00"/>
      <color rgb="FF33CC33"/>
      <color rgb="FFFBFCFD"/>
      <color rgb="FF04508C"/>
      <color rgb="FF9CBE13"/>
      <color rgb="FF9C5A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US" sz="1000">
                <a:solidFill>
                  <a:schemeClr val="tx1"/>
                </a:solidFill>
              </a:rPr>
              <a:t>3-Star Rating by Category</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2176314766209779"/>
          <c:w val="0.90177928340352809"/>
          <c:h val="0.51860843783415955"/>
        </c:manualLayout>
      </c:layout>
      <c:barChart>
        <c:barDir val="col"/>
        <c:grouping val="clustered"/>
        <c:varyColors val="0"/>
        <c:ser>
          <c:idx val="0"/>
          <c:order val="0"/>
          <c:spPr>
            <a:solidFill>
              <a:schemeClr val="accent1"/>
            </a:solidFill>
            <a:ln>
              <a:noFill/>
            </a:ln>
            <a:effectLst/>
          </c:spPr>
          <c:invertIfNegative val="0"/>
          <c:cat>
            <c:strRef>
              <c:f>Charts!$O$82:$O$87</c:f>
              <c:strCache>
                <c:ptCount val="5"/>
                <c:pt idx="0">
                  <c:v>Water</c:v>
                </c:pt>
                <c:pt idx="1">
                  <c:v>Sanitation</c:v>
                </c:pt>
                <c:pt idx="2">
                  <c:v>Hygiene</c:v>
                </c:pt>
                <c:pt idx="3">
                  <c:v>Deworming</c:v>
                </c:pt>
                <c:pt idx="4">
                  <c:v>Health Education</c:v>
                </c:pt>
              </c:strCache>
            </c:strRef>
          </c:cat>
          <c:val>
            <c:numRef>
              <c:f>Charts!$P$82:$P$87</c:f>
              <c:numCache>
                <c:formatCode>#,##0</c:formatCode>
                <c:ptCount val="6"/>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302779280"/>
        <c:axId val="302779672"/>
      </c:barChart>
      <c:catAx>
        <c:axId val="30277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02779672"/>
        <c:crosses val="autoZero"/>
        <c:auto val="1"/>
        <c:lblAlgn val="ctr"/>
        <c:lblOffset val="100"/>
        <c:noMultiLvlLbl val="0"/>
      </c:catAx>
      <c:valAx>
        <c:axId val="302779672"/>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02779280"/>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3-Star Rating for Water Indicators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21763147662097793"/>
          <c:w val="0.90177928340352809"/>
          <c:h val="0.51860843783415966"/>
        </c:manualLayout>
      </c:layout>
      <c:barChart>
        <c:barDir val="col"/>
        <c:grouping val="clustered"/>
        <c:varyColors val="0"/>
        <c:ser>
          <c:idx val="0"/>
          <c:order val="0"/>
          <c:spPr>
            <a:solidFill>
              <a:schemeClr val="accent1"/>
            </a:solidFill>
            <a:ln>
              <a:noFill/>
            </a:ln>
            <a:effectLst/>
          </c:spPr>
          <c:invertIfNegative val="0"/>
          <c:cat>
            <c:strRef>
              <c:f>Charts!$O$90:$O$94</c:f>
              <c:strCache>
                <c:ptCount val="3"/>
                <c:pt idx="0">
                  <c:v>Safe Drinking Water</c:v>
                </c:pt>
                <c:pt idx="1">
                  <c:v>Water Testing</c:v>
                </c:pt>
                <c:pt idx="2">
                  <c:v>Water for Cleaning</c:v>
                </c:pt>
              </c:strCache>
            </c:strRef>
          </c:cat>
          <c:val>
            <c:numRef>
              <c:f>Charts!$P$90:$P$94</c:f>
              <c:numCache>
                <c:formatCode>General</c:formatCode>
                <c:ptCount val="5"/>
                <c:pt idx="0">
                  <c:v>0</c:v>
                </c:pt>
                <c:pt idx="1">
                  <c:v>0</c:v>
                </c:pt>
                <c:pt idx="2">
                  <c:v>0</c:v>
                </c:pt>
              </c:numCache>
            </c:numRef>
          </c:val>
        </c:ser>
        <c:dLbls>
          <c:showLegendKey val="0"/>
          <c:showVal val="0"/>
          <c:showCatName val="0"/>
          <c:showSerName val="0"/>
          <c:showPercent val="0"/>
          <c:showBubbleSize val="0"/>
        </c:dLbls>
        <c:gapWidth val="219"/>
        <c:overlap val="-27"/>
        <c:axId val="302780456"/>
        <c:axId val="303427712"/>
      </c:barChart>
      <c:catAx>
        <c:axId val="302780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03427712"/>
        <c:crosses val="autoZero"/>
        <c:auto val="1"/>
        <c:lblAlgn val="ctr"/>
        <c:lblOffset val="100"/>
        <c:noMultiLvlLbl val="0"/>
      </c:catAx>
      <c:valAx>
        <c:axId val="303427712"/>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02780456"/>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Deworming Indicators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19448332847282976"/>
          <c:w val="0.90177928340352809"/>
          <c:h val="0.54175658598230769"/>
        </c:manualLayout>
      </c:layout>
      <c:barChart>
        <c:barDir val="col"/>
        <c:grouping val="clustered"/>
        <c:varyColors val="0"/>
        <c:ser>
          <c:idx val="0"/>
          <c:order val="0"/>
          <c:spPr>
            <a:solidFill>
              <a:schemeClr val="accent1"/>
            </a:solidFill>
            <a:ln>
              <a:noFill/>
            </a:ln>
            <a:effectLst/>
          </c:spPr>
          <c:invertIfNegative val="0"/>
          <c:cat>
            <c:strRef>
              <c:f>Charts!$O$129:$O$134</c:f>
              <c:strCache>
                <c:ptCount val="2"/>
                <c:pt idx="0">
                  <c:v>Semi-annual Deworming</c:v>
                </c:pt>
                <c:pt idx="1">
                  <c:v>Pupils Dewormed</c:v>
                </c:pt>
              </c:strCache>
            </c:strRef>
          </c:cat>
          <c:val>
            <c:numRef>
              <c:f>Charts!$P$129:$P$134</c:f>
              <c:numCache>
                <c:formatCode>General</c:formatCode>
                <c:ptCount val="6"/>
                <c:pt idx="0">
                  <c:v>0</c:v>
                </c:pt>
                <c:pt idx="1">
                  <c:v>0</c:v>
                </c:pt>
              </c:numCache>
            </c:numRef>
          </c:val>
        </c:ser>
        <c:dLbls>
          <c:showLegendKey val="0"/>
          <c:showVal val="0"/>
          <c:showCatName val="0"/>
          <c:showSerName val="0"/>
          <c:showPercent val="0"/>
          <c:showBubbleSize val="0"/>
        </c:dLbls>
        <c:gapWidth val="219"/>
        <c:overlap val="-27"/>
        <c:axId val="303428496"/>
        <c:axId val="303428888"/>
      </c:barChart>
      <c:catAx>
        <c:axId val="30342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03428888"/>
        <c:crosses val="autoZero"/>
        <c:auto val="1"/>
        <c:lblAlgn val="ctr"/>
        <c:lblOffset val="100"/>
        <c:noMultiLvlLbl val="0"/>
      </c:catAx>
      <c:valAx>
        <c:axId val="30342888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03428496"/>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Health Education Indicators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19448332847282976"/>
          <c:w val="0.90177928340352809"/>
          <c:h val="0.45699547973170018"/>
        </c:manualLayout>
      </c:layout>
      <c:barChart>
        <c:barDir val="col"/>
        <c:grouping val="clustered"/>
        <c:varyColors val="0"/>
        <c:ser>
          <c:idx val="0"/>
          <c:order val="0"/>
          <c:spPr>
            <a:solidFill>
              <a:schemeClr val="accent1"/>
            </a:solidFill>
            <a:ln>
              <a:noFill/>
            </a:ln>
            <a:effectLst/>
          </c:spPr>
          <c:invertIfNegative val="0"/>
          <c:cat>
            <c:strRef>
              <c:f>Charts!$O$136:$O$141</c:f>
              <c:strCache>
                <c:ptCount val="6"/>
                <c:pt idx="0">
                  <c:v>IEC Materials</c:v>
                </c:pt>
                <c:pt idx="1">
                  <c:v>Organized Teams </c:v>
                </c:pt>
                <c:pt idx="2">
                  <c:v>INSET</c:v>
                </c:pt>
                <c:pt idx="3">
                  <c:v>Learning Materials</c:v>
                </c:pt>
                <c:pt idx="4">
                  <c:v>Advocacy for Parents</c:v>
                </c:pt>
                <c:pt idx="5">
                  <c:v>Extra Curricular Activities</c:v>
                </c:pt>
              </c:strCache>
            </c:strRef>
          </c:cat>
          <c:val>
            <c:numRef>
              <c:f>Charts!$P$136:$P$141</c:f>
              <c:numCache>
                <c:formatCode>General</c:formatCode>
                <c:ptCount val="6"/>
                <c:pt idx="0">
                  <c:v>0</c:v>
                </c:pt>
                <c:pt idx="1">
                  <c:v>0</c:v>
                </c:pt>
                <c:pt idx="2">
                  <c:v>1</c:v>
                </c:pt>
                <c:pt idx="3">
                  <c:v>2</c:v>
                </c:pt>
                <c:pt idx="4">
                  <c:v>1</c:v>
                </c:pt>
                <c:pt idx="5">
                  <c:v>1</c:v>
                </c:pt>
              </c:numCache>
            </c:numRef>
          </c:val>
        </c:ser>
        <c:dLbls>
          <c:showLegendKey val="0"/>
          <c:showVal val="0"/>
          <c:showCatName val="0"/>
          <c:showSerName val="0"/>
          <c:showPercent val="0"/>
          <c:showBubbleSize val="0"/>
        </c:dLbls>
        <c:gapWidth val="219"/>
        <c:overlap val="-27"/>
        <c:axId val="420300560"/>
        <c:axId val="420300952"/>
      </c:barChart>
      <c:catAx>
        <c:axId val="42030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0300952"/>
        <c:crosses val="autoZero"/>
        <c:auto val="1"/>
        <c:lblAlgn val="ctr"/>
        <c:lblOffset val="100"/>
        <c:noMultiLvlLbl val="0"/>
      </c:catAx>
      <c:valAx>
        <c:axId val="420300952"/>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0300560"/>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3-Star Rating for Hygiene</a:t>
            </a:r>
            <a:r>
              <a:rPr lang="en-PH" sz="1000" baseline="0">
                <a:solidFill>
                  <a:schemeClr val="tx1"/>
                </a:solidFill>
              </a:rPr>
              <a:t> </a:t>
            </a:r>
            <a:r>
              <a:rPr lang="en-PH" sz="1000">
                <a:solidFill>
                  <a:schemeClr val="tx1"/>
                </a:solidFill>
              </a:rPr>
              <a:t>Indicators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3.1164312553416371E-2"/>
          <c:y val="0.20219937785554584"/>
          <c:w val="0.95117351660522198"/>
          <c:h val="0.44927943034898415"/>
        </c:manualLayout>
      </c:layout>
      <c:barChart>
        <c:barDir val="col"/>
        <c:grouping val="clustered"/>
        <c:varyColors val="0"/>
        <c:ser>
          <c:idx val="0"/>
          <c:order val="0"/>
          <c:spPr>
            <a:solidFill>
              <a:schemeClr val="accent1"/>
            </a:solidFill>
            <a:ln>
              <a:noFill/>
            </a:ln>
            <a:effectLst/>
          </c:spPr>
          <c:invertIfNegative val="0"/>
          <c:cat>
            <c:strRef>
              <c:f>Charts!$O$114:$O$126</c:f>
              <c:strCache>
                <c:ptCount val="13"/>
                <c:pt idx="0">
                  <c:v>Grp Handwash Activity</c:v>
                </c:pt>
                <c:pt idx="1">
                  <c:v>Available Soap</c:v>
                </c:pt>
                <c:pt idx="2">
                  <c:v>Grp Handwash Facility</c:v>
                </c:pt>
                <c:pt idx="3">
                  <c:v>Individual Handwash Facility</c:v>
                </c:pt>
                <c:pt idx="4">
                  <c:v>Individual Handwash Practice</c:v>
                </c:pt>
                <c:pt idx="5">
                  <c:v>Grp Tooth brushing Activity</c:v>
                </c:pt>
                <c:pt idx="6">
                  <c:v>Available Toothbrush &amp; paste</c:v>
                </c:pt>
                <c:pt idx="7">
                  <c:v>Repair &amp; Main tenance</c:v>
                </c:pt>
                <c:pt idx="8">
                  <c:v>Funding of Supplies</c:v>
                </c:pt>
                <c:pt idx="9">
                  <c:v>Sanitary Pads</c:v>
                </c:pt>
                <c:pt idx="10">
                  <c:v>Disposal of Sanitary Pads</c:v>
                </c:pt>
                <c:pt idx="11">
                  <c:v>IEC Materials for MHM</c:v>
                </c:pt>
                <c:pt idx="12">
                  <c:v>Rest Space for MHM</c:v>
                </c:pt>
              </c:strCache>
            </c:strRef>
          </c:cat>
          <c:val>
            <c:numRef>
              <c:f>Charts!$P$114:$P$126</c:f>
              <c:numCache>
                <c:formatCode>General</c:formatCode>
                <c:ptCount val="13"/>
                <c:pt idx="0">
                  <c:v>5</c:v>
                </c:pt>
                <c:pt idx="1">
                  <c:v>0</c:v>
                </c:pt>
                <c:pt idx="2">
                  <c:v>5</c:v>
                </c:pt>
                <c:pt idx="3">
                  <c:v>2</c:v>
                </c:pt>
                <c:pt idx="4">
                  <c:v>2</c:v>
                </c:pt>
                <c:pt idx="5">
                  <c:v>0</c:v>
                </c:pt>
                <c:pt idx="6">
                  <c:v>0</c:v>
                </c:pt>
                <c:pt idx="7">
                  <c:v>0</c:v>
                </c:pt>
                <c:pt idx="8">
                  <c:v>0</c:v>
                </c:pt>
                <c:pt idx="9">
                  <c:v>0</c:v>
                </c:pt>
                <c:pt idx="10">
                  <c:v>1</c:v>
                </c:pt>
                <c:pt idx="11">
                  <c:v>1</c:v>
                </c:pt>
                <c:pt idx="12">
                  <c:v>2</c:v>
                </c:pt>
              </c:numCache>
            </c:numRef>
          </c:val>
        </c:ser>
        <c:dLbls>
          <c:showLegendKey val="0"/>
          <c:showVal val="0"/>
          <c:showCatName val="0"/>
          <c:showSerName val="0"/>
          <c:showPercent val="0"/>
          <c:showBubbleSize val="0"/>
        </c:dLbls>
        <c:gapWidth val="219"/>
        <c:overlap val="-27"/>
        <c:axId val="420301736"/>
        <c:axId val="420302128"/>
      </c:barChart>
      <c:catAx>
        <c:axId val="420301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0302128"/>
        <c:crosses val="autoZero"/>
        <c:auto val="1"/>
        <c:lblAlgn val="ctr"/>
        <c:lblOffset val="100"/>
        <c:noMultiLvlLbl val="0"/>
      </c:catAx>
      <c:valAx>
        <c:axId val="42030212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0301736"/>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t>3-Star Rating for Sanitation Indicators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3.1164312553416371E-2"/>
          <c:y val="0.20219937785554584"/>
          <c:w val="0.95117351660522198"/>
          <c:h val="0.46482696607368523"/>
        </c:manualLayout>
      </c:layout>
      <c:barChart>
        <c:barDir val="col"/>
        <c:grouping val="clustered"/>
        <c:varyColors val="0"/>
        <c:ser>
          <c:idx val="0"/>
          <c:order val="0"/>
          <c:spPr>
            <a:solidFill>
              <a:schemeClr val="accent1"/>
            </a:solidFill>
            <a:ln>
              <a:noFill/>
            </a:ln>
            <a:effectLst/>
          </c:spPr>
          <c:invertIfNegative val="0"/>
          <c:cat>
            <c:strRef>
              <c:f>Charts!$O$96:$O$111</c:f>
              <c:strCache>
                <c:ptCount val="16"/>
                <c:pt idx="0">
                  <c:v>Segre gated Toilets </c:v>
                </c:pt>
                <c:pt idx="1">
                  <c:v>Security of Toilets</c:v>
                </c:pt>
                <c:pt idx="2">
                  <c:v>Wash Facility for Toilets</c:v>
                </c:pt>
                <c:pt idx="3">
                  <c:v>Wash Facility for MHM</c:v>
                </c:pt>
                <c:pt idx="4">
                  <c:v>Safety of Detached Toilets</c:v>
                </c:pt>
                <c:pt idx="5">
                  <c:v>Toilets for Disabled</c:v>
                </c:pt>
                <c:pt idx="6">
                  <c:v>Daily Cleaning of Toilets</c:v>
                </c:pt>
                <c:pt idx="7">
                  <c:v>Funding for Repairs</c:v>
                </c:pt>
                <c:pt idx="8">
                  <c:v>No Burning of Waste</c:v>
                </c:pt>
                <c:pt idx="9">
                  <c:v>Segre gated Bins</c:v>
                </c:pt>
                <c:pt idx="10">
                  <c:v>Waste Segre gation</c:v>
                </c:pt>
                <c:pt idx="11">
                  <c:v>Garbage Collection</c:v>
                </c:pt>
                <c:pt idx="12">
                  <c:v>Septic Tank</c:v>
                </c:pt>
                <c:pt idx="13">
                  <c:v>Drainage</c:v>
                </c:pt>
                <c:pt idx="14">
                  <c:v>System for Flood</c:v>
                </c:pt>
                <c:pt idx="15">
                  <c:v>Food Handlers</c:v>
                </c:pt>
              </c:strCache>
            </c:strRef>
          </c:cat>
          <c:val>
            <c:numRef>
              <c:f>Charts!$P$96:$P$111</c:f>
              <c:numCache>
                <c:formatCode>General</c:formatCode>
                <c:ptCount val="16"/>
                <c:pt idx="0">
                  <c:v>0</c:v>
                </c:pt>
                <c:pt idx="1">
                  <c:v>0</c:v>
                </c:pt>
                <c:pt idx="2">
                  <c:v>1</c:v>
                </c:pt>
                <c:pt idx="3">
                  <c:v>1</c:v>
                </c:pt>
                <c:pt idx="4">
                  <c:v>1</c:v>
                </c:pt>
                <c:pt idx="5">
                  <c:v>2</c:v>
                </c:pt>
                <c:pt idx="6">
                  <c:v>0</c:v>
                </c:pt>
                <c:pt idx="7">
                  <c:v>0</c:v>
                </c:pt>
                <c:pt idx="8">
                  <c:v>0</c:v>
                </c:pt>
                <c:pt idx="9">
                  <c:v>0</c:v>
                </c:pt>
                <c:pt idx="10">
                  <c:v>0</c:v>
                </c:pt>
                <c:pt idx="11">
                  <c:v>0</c:v>
                </c:pt>
                <c:pt idx="12">
                  <c:v>0</c:v>
                </c:pt>
                <c:pt idx="13">
                  <c:v>0</c:v>
                </c:pt>
                <c:pt idx="14" formatCode="#,##0">
                  <c:v>2</c:v>
                </c:pt>
                <c:pt idx="15">
                  <c:v>0</c:v>
                </c:pt>
              </c:numCache>
            </c:numRef>
          </c:val>
        </c:ser>
        <c:dLbls>
          <c:showLegendKey val="0"/>
          <c:showVal val="0"/>
          <c:showCatName val="0"/>
          <c:showSerName val="0"/>
          <c:showPercent val="0"/>
          <c:showBubbleSize val="0"/>
        </c:dLbls>
        <c:gapWidth val="219"/>
        <c:overlap val="-27"/>
        <c:axId val="420319776"/>
        <c:axId val="420320168"/>
      </c:barChart>
      <c:catAx>
        <c:axId val="42031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0320168"/>
        <c:crosses val="autoZero"/>
        <c:auto val="1"/>
        <c:lblAlgn val="ctr"/>
        <c:lblOffset val="100"/>
        <c:noMultiLvlLbl val="0"/>
      </c:catAx>
      <c:valAx>
        <c:axId val="42032016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20319776"/>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485774</xdr:colOff>
      <xdr:row>0</xdr:row>
      <xdr:rowOff>28575</xdr:rowOff>
    </xdr:from>
    <xdr:ext cx="5229226" cy="718530"/>
    <xdr:sp macro="" textlink="">
      <xdr:nvSpPr>
        <xdr:cNvPr id="4" name="TextBox 3"/>
        <xdr:cNvSpPr txBox="1"/>
      </xdr:nvSpPr>
      <xdr:spPr>
        <a:xfrm>
          <a:off x="704849" y="28575"/>
          <a:ext cx="5229226"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PH" sz="2000" b="1">
              <a:solidFill>
                <a:schemeClr val="bg1"/>
              </a:solidFill>
              <a:latin typeface="+mn-lt"/>
              <a:cs typeface="Times New Roman" panose="02020603050405020304" pitchFamily="18" charset="0"/>
            </a:rPr>
            <a:t>Department of Education</a:t>
          </a:r>
        </a:p>
        <a:p>
          <a:r>
            <a:rPr lang="en-PH" sz="2000" b="1">
              <a:solidFill>
                <a:schemeClr val="bg1"/>
              </a:solidFill>
              <a:latin typeface="+mn-lt"/>
              <a:cs typeface="Times New Roman" panose="02020603050405020304" pitchFamily="18" charset="0"/>
            </a:rPr>
            <a:t>WASH in Schools Monitoring System</a:t>
          </a:r>
        </a:p>
      </xdr:txBody>
    </xdr:sp>
    <xdr:clientData/>
  </xdr:oneCellAnchor>
  <xdr:twoCellAnchor editAs="oneCell">
    <xdr:from>
      <xdr:col>0</xdr:col>
      <xdr:colOff>28575</xdr:colOff>
      <xdr:row>0</xdr:row>
      <xdr:rowOff>47625</xdr:rowOff>
    </xdr:from>
    <xdr:to>
      <xdr:col>1</xdr:col>
      <xdr:colOff>495300</xdr:colOff>
      <xdr:row>3</xdr:row>
      <xdr:rowOff>165026</xdr:rowOff>
    </xdr:to>
    <xdr:pic>
      <xdr:nvPicPr>
        <xdr:cNvPr id="5" name="Picture 4" descr="E:\Abigail Godoy\DepEd Style Guide\DepEd Seal_small.png"/>
        <xdr:cNvPicPr>
          <a:picLocks noChangeAspect="1" noChangeArrowheads="1"/>
        </xdr:cNvPicPr>
      </xdr:nvPicPr>
      <xdr:blipFill>
        <a:blip xmlns:r="http://schemas.openxmlformats.org/officeDocument/2006/relationships" r:embed="rId1" cstate="print"/>
        <a:srcRect/>
        <a:stretch>
          <a:fillRect/>
        </a:stretch>
      </xdr:blipFill>
      <xdr:spPr bwMode="auto">
        <a:xfrm>
          <a:off x="28575" y="47625"/>
          <a:ext cx="685800" cy="68890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274320</xdr:colOff>
      <xdr:row>10</xdr:row>
      <xdr:rowOff>121920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314325</xdr:colOff>
      <xdr:row>2</xdr:row>
      <xdr:rowOff>0</xdr:rowOff>
    </xdr:from>
    <xdr:to>
      <xdr:col>12</xdr:col>
      <xdr:colOff>588645</xdr:colOff>
      <xdr:row>10</xdr:row>
      <xdr:rowOff>121920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29</xdr:row>
      <xdr:rowOff>0</xdr:rowOff>
    </xdr:from>
    <xdr:to>
      <xdr:col>6</xdr:col>
      <xdr:colOff>274320</xdr:colOff>
      <xdr:row>37</xdr:row>
      <xdr:rowOff>121920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314325</xdr:colOff>
      <xdr:row>29</xdr:row>
      <xdr:rowOff>0</xdr:rowOff>
    </xdr:from>
    <xdr:to>
      <xdr:col>12</xdr:col>
      <xdr:colOff>588645</xdr:colOff>
      <xdr:row>37</xdr:row>
      <xdr:rowOff>121920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0</xdr:rowOff>
    </xdr:from>
    <xdr:to>
      <xdr:col>12</xdr:col>
      <xdr:colOff>594360</xdr:colOff>
      <xdr:row>28</xdr:row>
      <xdr:rowOff>121920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11</xdr:row>
      <xdr:rowOff>0</xdr:rowOff>
    </xdr:from>
    <xdr:to>
      <xdr:col>12</xdr:col>
      <xdr:colOff>594360</xdr:colOff>
      <xdr:row>19</xdr:row>
      <xdr:rowOff>121920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62"/>
  <sheetViews>
    <sheetView showGridLines="0" tabSelected="1" workbookViewId="0">
      <pane ySplit="4" topLeftCell="A5" activePane="bottomLeft" state="frozen"/>
      <selection activeCell="F4" sqref="F4"/>
      <selection pane="bottomLeft" activeCell="A5" sqref="A5"/>
    </sheetView>
  </sheetViews>
  <sheetFormatPr defaultColWidth="12.7109375" defaultRowHeight="15" x14ac:dyDescent="0.25"/>
  <cols>
    <col min="1" max="1" width="3.28515625" style="49" customWidth="1"/>
    <col min="2" max="2" width="55.5703125" style="11" customWidth="1"/>
    <col min="3" max="3" width="12.7109375" style="11" hidden="1" customWidth="1"/>
    <col min="4" max="5" width="12.7109375" style="45"/>
    <col min="6" max="6" width="12.7109375" style="7"/>
    <col min="7" max="7" width="12.7109375" style="7" customWidth="1"/>
    <col min="8" max="16384" width="12.7109375" style="7"/>
  </cols>
  <sheetData>
    <row r="1" spans="1:6" s="74" customFormat="1" ht="15" customHeight="1" x14ac:dyDescent="0.25">
      <c r="A1" s="71"/>
      <c r="B1" s="72"/>
      <c r="C1" s="88"/>
      <c r="D1" s="73"/>
      <c r="E1" s="73"/>
      <c r="F1" s="96" t="str">
        <f>"Version: " &amp; Settings!B2</f>
        <v>Version: 2016-12-19</v>
      </c>
    </row>
    <row r="2" spans="1:6" s="74" customFormat="1" ht="15" customHeight="1" x14ac:dyDescent="0.25">
      <c r="A2" s="71"/>
      <c r="B2" s="72"/>
      <c r="C2" s="89"/>
      <c r="D2" s="73"/>
      <c r="E2" s="73"/>
    </row>
    <row r="3" spans="1:6" s="74" customFormat="1" ht="15" customHeight="1" x14ac:dyDescent="0.25">
      <c r="A3" s="71"/>
      <c r="B3" s="72"/>
      <c r="C3" s="72"/>
      <c r="D3" s="73"/>
      <c r="E3" s="73"/>
    </row>
    <row r="4" spans="1:6" s="74" customFormat="1" ht="15" customHeight="1" x14ac:dyDescent="0.25">
      <c r="A4" s="71"/>
      <c r="B4" s="72"/>
      <c r="C4" s="72"/>
      <c r="D4" s="73"/>
      <c r="E4" s="73"/>
    </row>
    <row r="6" spans="1:6" s="11" customFormat="1" x14ac:dyDescent="0.25">
      <c r="A6" s="48" t="s">
        <v>23</v>
      </c>
      <c r="B6" s="10"/>
      <c r="D6" s="45"/>
      <c r="E6" s="45"/>
    </row>
    <row r="8" spans="1:6" ht="15" customHeight="1" x14ac:dyDescent="0.25">
      <c r="A8" s="130" t="s">
        <v>20</v>
      </c>
      <c r="B8" s="131"/>
      <c r="C8" s="38"/>
      <c r="D8" s="139"/>
      <c r="E8" s="140"/>
      <c r="F8" s="8" t="s">
        <v>19</v>
      </c>
    </row>
    <row r="9" spans="1:6" x14ac:dyDescent="0.25">
      <c r="A9" s="130" t="s">
        <v>11</v>
      </c>
      <c r="B9" s="131"/>
      <c r="C9" s="37" t="s">
        <v>11</v>
      </c>
      <c r="D9" s="128"/>
      <c r="E9" s="129"/>
      <c r="F9" s="8" t="s">
        <v>19</v>
      </c>
    </row>
    <row r="10" spans="1:6" x14ac:dyDescent="0.25">
      <c r="A10" s="130" t="s">
        <v>15</v>
      </c>
      <c r="B10" s="131"/>
      <c r="C10" s="38"/>
      <c r="D10" s="132"/>
      <c r="E10" s="133"/>
      <c r="F10" s="8" t="s">
        <v>19</v>
      </c>
    </row>
    <row r="11" spans="1:6" x14ac:dyDescent="0.25">
      <c r="A11" s="130" t="s">
        <v>12</v>
      </c>
      <c r="B11" s="131"/>
      <c r="C11" s="38"/>
      <c r="D11" s="132"/>
      <c r="E11" s="133"/>
      <c r="F11" s="8" t="s">
        <v>19</v>
      </c>
    </row>
    <row r="12" spans="1:6" s="11" customFormat="1" x14ac:dyDescent="0.25">
      <c r="A12" s="130" t="s">
        <v>170</v>
      </c>
      <c r="B12" s="131"/>
      <c r="C12" s="38" t="s">
        <v>170</v>
      </c>
      <c r="D12" s="128"/>
      <c r="E12" s="129"/>
      <c r="F12" s="8" t="s">
        <v>19</v>
      </c>
    </row>
    <row r="13" spans="1:6" s="11" customFormat="1" ht="15" customHeight="1" x14ac:dyDescent="0.25">
      <c r="A13" s="130" t="s">
        <v>14</v>
      </c>
      <c r="B13" s="131"/>
      <c r="C13" s="38"/>
      <c r="D13" s="128"/>
      <c r="E13" s="129"/>
    </row>
    <row r="14" spans="1:6" x14ac:dyDescent="0.25">
      <c r="A14" s="130" t="s">
        <v>13</v>
      </c>
      <c r="B14" s="131"/>
      <c r="C14" s="38"/>
      <c r="D14" s="128"/>
      <c r="E14" s="129"/>
    </row>
    <row r="15" spans="1:6" ht="44.25" customHeight="1" x14ac:dyDescent="0.25">
      <c r="A15" s="130" t="s">
        <v>21</v>
      </c>
      <c r="B15" s="131"/>
      <c r="C15" s="38"/>
      <c r="D15" s="128"/>
      <c r="E15" s="129"/>
    </row>
    <row r="16" spans="1:6" ht="15" customHeight="1" x14ac:dyDescent="0.25">
      <c r="A16" s="130" t="s">
        <v>16</v>
      </c>
      <c r="B16" s="131"/>
      <c r="C16" s="38"/>
      <c r="D16" s="132"/>
      <c r="E16" s="133"/>
    </row>
    <row r="17" spans="1:6" ht="15" customHeight="1" x14ac:dyDescent="0.25">
      <c r="A17" s="130" t="s">
        <v>22</v>
      </c>
      <c r="B17" s="131"/>
      <c r="C17" s="38"/>
      <c r="D17" s="141"/>
      <c r="E17" s="142"/>
    </row>
    <row r="18" spans="1:6" s="11" customFormat="1" ht="15" customHeight="1" x14ac:dyDescent="0.25"/>
    <row r="19" spans="1:6" s="11" customFormat="1" ht="15" customHeight="1" x14ac:dyDescent="0.25">
      <c r="A19" s="5" t="s">
        <v>143</v>
      </c>
      <c r="B19" s="5"/>
      <c r="C19" s="5"/>
      <c r="D19" s="80" t="s">
        <v>8</v>
      </c>
      <c r="E19" s="80" t="s">
        <v>9</v>
      </c>
      <c r="F19" s="80" t="s">
        <v>147</v>
      </c>
    </row>
    <row r="20" spans="1:6" s="11" customFormat="1" ht="15" customHeight="1" x14ac:dyDescent="0.25">
      <c r="A20" s="130" t="s">
        <v>144</v>
      </c>
      <c r="B20" s="131"/>
      <c r="C20" s="38"/>
      <c r="D20" s="94"/>
      <c r="E20" s="94"/>
      <c r="F20" s="84">
        <f>SUM(D20:E20)</f>
        <v>0</v>
      </c>
    </row>
    <row r="21" spans="1:6" s="11" customFormat="1" ht="15" customHeight="1" x14ac:dyDescent="0.25">
      <c r="A21" s="130" t="s">
        <v>145</v>
      </c>
      <c r="B21" s="131"/>
      <c r="C21" s="38"/>
      <c r="D21" s="94"/>
      <c r="E21" s="94"/>
      <c r="F21" s="84">
        <f t="shared" ref="F21:F22" si="0">SUM(D21:E21)</f>
        <v>0</v>
      </c>
    </row>
    <row r="22" spans="1:6" s="11" customFormat="1" ht="15" customHeight="1" x14ac:dyDescent="0.25">
      <c r="A22" s="130" t="s">
        <v>146</v>
      </c>
      <c r="B22" s="131"/>
      <c r="C22" s="38"/>
      <c r="D22" s="94"/>
      <c r="E22" s="94"/>
      <c r="F22" s="84">
        <f t="shared" si="0"/>
        <v>0</v>
      </c>
    </row>
    <row r="23" spans="1:6" x14ac:dyDescent="0.25">
      <c r="A23" s="50"/>
      <c r="B23" s="9"/>
      <c r="C23" s="9"/>
      <c r="D23" s="46"/>
    </row>
    <row r="24" spans="1:6" x14ac:dyDescent="0.25">
      <c r="A24" s="50"/>
      <c r="B24" s="9"/>
      <c r="C24" s="9"/>
      <c r="D24" s="46"/>
    </row>
    <row r="25" spans="1:6" x14ac:dyDescent="0.25">
      <c r="A25" s="48" t="s">
        <v>24</v>
      </c>
      <c r="B25" s="10"/>
    </row>
    <row r="27" spans="1:6" x14ac:dyDescent="0.25">
      <c r="A27" s="51">
        <v>1</v>
      </c>
      <c r="B27" s="78" t="s">
        <v>148</v>
      </c>
      <c r="C27" s="37" t="s">
        <v>149</v>
      </c>
      <c r="D27" s="137"/>
      <c r="E27" s="138"/>
    </row>
    <row r="28" spans="1:6" s="11" customFormat="1" x14ac:dyDescent="0.25">
      <c r="A28" s="51">
        <f>A27+1</f>
        <v>2</v>
      </c>
      <c r="B28" s="78" t="s">
        <v>193</v>
      </c>
      <c r="C28" s="81" t="s">
        <v>6</v>
      </c>
      <c r="D28" s="128"/>
      <c r="E28" s="129"/>
    </row>
    <row r="29" spans="1:6" s="11" customFormat="1" ht="15" customHeight="1" x14ac:dyDescent="0.25">
      <c r="A29" s="51">
        <f>A28+1</f>
        <v>3</v>
      </c>
      <c r="B29" s="134" t="s">
        <v>107</v>
      </c>
      <c r="C29" s="134"/>
      <c r="D29" s="134"/>
      <c r="E29" s="135"/>
    </row>
    <row r="30" spans="1:6" s="11" customFormat="1" ht="30" customHeight="1" x14ac:dyDescent="0.25">
      <c r="A30" s="75"/>
      <c r="B30" s="40" t="s">
        <v>25</v>
      </c>
      <c r="C30" s="37" t="s">
        <v>17</v>
      </c>
      <c r="D30" s="128"/>
      <c r="E30" s="129"/>
    </row>
    <row r="31" spans="1:6" ht="30" customHeight="1" x14ac:dyDescent="0.25">
      <c r="A31" s="75"/>
      <c r="B31" s="40" t="s">
        <v>26</v>
      </c>
      <c r="C31" s="37" t="s">
        <v>17</v>
      </c>
      <c r="D31" s="128"/>
      <c r="E31" s="129"/>
    </row>
    <row r="32" spans="1:6" s="11" customFormat="1" x14ac:dyDescent="0.25">
      <c r="A32" s="75"/>
      <c r="B32" s="40" t="s">
        <v>320</v>
      </c>
      <c r="C32" s="37" t="s">
        <v>17</v>
      </c>
      <c r="D32" s="128"/>
      <c r="E32" s="129"/>
    </row>
    <row r="33" spans="1:8" s="11" customFormat="1" x14ac:dyDescent="0.25">
      <c r="A33" s="75"/>
      <c r="B33" s="40" t="s">
        <v>321</v>
      </c>
      <c r="C33" s="37" t="s">
        <v>17</v>
      </c>
      <c r="D33" s="128"/>
      <c r="E33" s="129"/>
    </row>
    <row r="34" spans="1:8" s="11" customFormat="1" ht="15" customHeight="1" x14ac:dyDescent="0.25">
      <c r="A34" s="75"/>
      <c r="B34" s="40" t="s">
        <v>18</v>
      </c>
      <c r="C34" s="38"/>
      <c r="D34" s="132"/>
      <c r="E34" s="133"/>
    </row>
    <row r="35" spans="1:8" s="11" customFormat="1" ht="60.75" customHeight="1" x14ac:dyDescent="0.25">
      <c r="A35" s="51">
        <f>A29+1</f>
        <v>4</v>
      </c>
      <c r="B35" s="42" t="s">
        <v>108</v>
      </c>
      <c r="C35" s="37" t="s">
        <v>93</v>
      </c>
      <c r="D35" s="128"/>
      <c r="E35" s="129"/>
    </row>
    <row r="36" spans="1:8" s="11" customFormat="1" ht="30" x14ac:dyDescent="0.25">
      <c r="A36" s="51">
        <f t="shared" ref="A36:A37" si="1">+A35+1</f>
        <v>5</v>
      </c>
      <c r="B36" s="42" t="s">
        <v>109</v>
      </c>
      <c r="C36" s="37" t="s">
        <v>6</v>
      </c>
      <c r="D36" s="128"/>
      <c r="E36" s="129"/>
    </row>
    <row r="37" spans="1:8" s="11" customFormat="1" ht="30" customHeight="1" x14ac:dyDescent="0.25">
      <c r="A37" s="51">
        <f t="shared" si="1"/>
        <v>6</v>
      </c>
      <c r="B37" s="42" t="s">
        <v>110</v>
      </c>
      <c r="C37" s="38"/>
      <c r="D37" s="132"/>
      <c r="E37" s="133"/>
    </row>
    <row r="38" spans="1:8" s="11" customFormat="1" x14ac:dyDescent="0.25">
      <c r="A38" s="50"/>
      <c r="B38" s="9"/>
      <c r="C38" s="9"/>
      <c r="D38" s="46"/>
      <c r="E38" s="45"/>
    </row>
    <row r="39" spans="1:8" s="11" customFormat="1" x14ac:dyDescent="0.25">
      <c r="A39" s="50"/>
      <c r="B39" s="9"/>
      <c r="C39" s="9"/>
      <c r="D39" s="46"/>
      <c r="E39" s="45"/>
    </row>
    <row r="40" spans="1:8" x14ac:dyDescent="0.25">
      <c r="A40" s="52" t="s">
        <v>30</v>
      </c>
      <c r="B40" s="12"/>
      <c r="C40" s="9"/>
      <c r="D40" s="46"/>
    </row>
    <row r="41" spans="1:8" s="9" customFormat="1" x14ac:dyDescent="0.25">
      <c r="A41" s="50"/>
      <c r="D41" s="46"/>
      <c r="E41" s="46"/>
      <c r="G41" s="11"/>
    </row>
    <row r="42" spans="1:8" s="11" customFormat="1" ht="30" x14ac:dyDescent="0.25">
      <c r="A42" s="51">
        <f>A37+1</f>
        <v>7</v>
      </c>
      <c r="B42" s="78" t="s">
        <v>111</v>
      </c>
      <c r="C42" s="78"/>
      <c r="D42" s="13" t="s">
        <v>8</v>
      </c>
      <c r="E42" s="13" t="s">
        <v>9</v>
      </c>
      <c r="F42" s="13" t="s">
        <v>152</v>
      </c>
      <c r="G42" s="13" t="s">
        <v>147</v>
      </c>
      <c r="H42" s="13" t="s">
        <v>516</v>
      </c>
    </row>
    <row r="43" spans="1:8" s="11" customFormat="1" ht="15" customHeight="1" x14ac:dyDescent="0.25">
      <c r="A43" s="75"/>
      <c r="B43" s="40" t="s">
        <v>406</v>
      </c>
      <c r="C43" s="82"/>
      <c r="D43" s="94"/>
      <c r="E43" s="94"/>
      <c r="F43" s="83"/>
      <c r="G43" s="84">
        <f>SUM(D43:F43)</f>
        <v>0</v>
      </c>
      <c r="H43" s="84" t="str">
        <f>IF(G43&gt;0,SUM(D20:E22)/G43,"")</f>
        <v/>
      </c>
    </row>
    <row r="44" spans="1:8" s="11" customFormat="1" ht="15" customHeight="1" x14ac:dyDescent="0.25">
      <c r="A44" s="75"/>
      <c r="B44" s="40" t="s">
        <v>407</v>
      </c>
      <c r="C44" s="82"/>
      <c r="D44" s="94"/>
      <c r="E44" s="94"/>
      <c r="F44" s="83"/>
      <c r="G44" s="84">
        <f>SUM(D44:F44)</f>
        <v>0</v>
      </c>
      <c r="H44" s="84"/>
    </row>
    <row r="45" spans="1:8" s="11" customFormat="1" ht="15" customHeight="1" x14ac:dyDescent="0.25"/>
    <row r="46" spans="1:8" s="11" customFormat="1" x14ac:dyDescent="0.25">
      <c r="A46" s="51">
        <f>A42+1</f>
        <v>8</v>
      </c>
      <c r="B46" s="125" t="s">
        <v>408</v>
      </c>
      <c r="C46" s="37" t="s">
        <v>6</v>
      </c>
      <c r="D46" s="128"/>
      <c r="E46" s="129"/>
    </row>
    <row r="47" spans="1:8" s="11" customFormat="1" x14ac:dyDescent="0.25">
      <c r="A47" s="51"/>
      <c r="B47" s="125" t="s">
        <v>409</v>
      </c>
      <c r="C47" s="37" t="s">
        <v>6</v>
      </c>
      <c r="D47" s="128"/>
      <c r="E47" s="129"/>
    </row>
    <row r="48" spans="1:8" s="11" customFormat="1" x14ac:dyDescent="0.25">
      <c r="A48" s="51"/>
      <c r="B48" s="125" t="s">
        <v>410</v>
      </c>
      <c r="C48" s="37" t="s">
        <v>6</v>
      </c>
      <c r="D48" s="128"/>
      <c r="E48" s="129"/>
    </row>
    <row r="49" spans="1:5" s="11" customFormat="1" ht="30" customHeight="1" x14ac:dyDescent="0.25">
      <c r="A49" s="51">
        <f>A46+1</f>
        <v>9</v>
      </c>
      <c r="B49" s="78" t="s">
        <v>153</v>
      </c>
      <c r="C49" s="37" t="s">
        <v>6</v>
      </c>
      <c r="D49" s="128"/>
      <c r="E49" s="129"/>
    </row>
    <row r="50" spans="1:5" s="11" customFormat="1" ht="30" customHeight="1" x14ac:dyDescent="0.25">
      <c r="A50" s="51">
        <f>A49+1</f>
        <v>10</v>
      </c>
      <c r="B50" s="78" t="s">
        <v>131</v>
      </c>
      <c r="C50" s="38"/>
      <c r="D50" s="132"/>
      <c r="E50" s="133"/>
    </row>
    <row r="51" spans="1:5" s="11" customFormat="1" ht="30" customHeight="1" x14ac:dyDescent="0.25">
      <c r="A51" s="51">
        <f t="shared" ref="A51:A52" si="2">A50+1</f>
        <v>11</v>
      </c>
      <c r="B51" s="42" t="s">
        <v>132</v>
      </c>
      <c r="C51" s="37" t="s">
        <v>6</v>
      </c>
      <c r="D51" s="128"/>
      <c r="E51" s="129"/>
    </row>
    <row r="52" spans="1:5" s="11" customFormat="1" ht="45" customHeight="1" x14ac:dyDescent="0.25">
      <c r="A52" s="51">
        <f t="shared" si="2"/>
        <v>12</v>
      </c>
      <c r="B52" s="42" t="s">
        <v>112</v>
      </c>
      <c r="C52" s="37" t="s">
        <v>6</v>
      </c>
      <c r="D52" s="128"/>
      <c r="E52" s="129"/>
    </row>
    <row r="53" spans="1:5" s="11" customFormat="1" ht="15" customHeight="1" x14ac:dyDescent="0.25">
      <c r="A53" s="51">
        <f>+A52+1</f>
        <v>13</v>
      </c>
      <c r="B53" s="42" t="s">
        <v>113</v>
      </c>
      <c r="C53" s="37" t="s">
        <v>95</v>
      </c>
      <c r="D53" s="128"/>
      <c r="E53" s="129"/>
    </row>
    <row r="54" spans="1:5" s="11" customFormat="1" ht="15" customHeight="1" x14ac:dyDescent="0.25">
      <c r="A54" s="51">
        <f t="shared" ref="A54:A55" si="3">+A53+1</f>
        <v>14</v>
      </c>
      <c r="B54" s="42" t="s">
        <v>114</v>
      </c>
      <c r="C54" s="37" t="s">
        <v>6</v>
      </c>
      <c r="D54" s="128"/>
      <c r="E54" s="129"/>
    </row>
    <row r="55" spans="1:5" s="11" customFormat="1" ht="15" customHeight="1" x14ac:dyDescent="0.25">
      <c r="A55" s="51">
        <f t="shared" si="3"/>
        <v>15</v>
      </c>
      <c r="B55" s="131" t="s">
        <v>154</v>
      </c>
      <c r="C55" s="131"/>
      <c r="D55" s="131"/>
      <c r="E55" s="136"/>
    </row>
    <row r="56" spans="1:5" s="11" customFormat="1" ht="15" customHeight="1" x14ac:dyDescent="0.25">
      <c r="A56" s="75"/>
      <c r="B56" s="40" t="s">
        <v>48</v>
      </c>
      <c r="C56" s="37" t="s">
        <v>17</v>
      </c>
      <c r="D56" s="128"/>
      <c r="E56" s="129"/>
    </row>
    <row r="57" spans="1:5" s="11" customFormat="1" ht="15" customHeight="1" x14ac:dyDescent="0.25">
      <c r="A57" s="75"/>
      <c r="B57" s="40" t="s">
        <v>49</v>
      </c>
      <c r="C57" s="37" t="s">
        <v>17</v>
      </c>
      <c r="D57" s="128"/>
      <c r="E57" s="129"/>
    </row>
    <row r="58" spans="1:5" s="11" customFormat="1" ht="15" customHeight="1" x14ac:dyDescent="0.25">
      <c r="A58" s="75"/>
      <c r="B58" s="40" t="s">
        <v>155</v>
      </c>
      <c r="C58" s="37" t="s">
        <v>17</v>
      </c>
      <c r="D58" s="128"/>
      <c r="E58" s="129"/>
    </row>
    <row r="59" spans="1:5" s="11" customFormat="1" ht="15" customHeight="1" x14ac:dyDescent="0.25">
      <c r="A59" s="75"/>
      <c r="B59" s="40" t="s">
        <v>156</v>
      </c>
      <c r="C59" s="37" t="s">
        <v>17</v>
      </c>
      <c r="D59" s="128"/>
      <c r="E59" s="129"/>
    </row>
    <row r="60" spans="1:5" s="11" customFormat="1" ht="15" customHeight="1" x14ac:dyDescent="0.25">
      <c r="A60" s="75"/>
      <c r="B60" s="40" t="s">
        <v>52</v>
      </c>
      <c r="C60" s="37" t="s">
        <v>17</v>
      </c>
      <c r="D60" s="128"/>
      <c r="E60" s="129"/>
    </row>
    <row r="61" spans="1:5" s="11" customFormat="1" ht="15" customHeight="1" x14ac:dyDescent="0.25">
      <c r="A61" s="75"/>
      <c r="B61" s="40" t="s">
        <v>51</v>
      </c>
      <c r="C61" s="37" t="s">
        <v>17</v>
      </c>
      <c r="D61" s="128"/>
      <c r="E61" s="129"/>
    </row>
    <row r="62" spans="1:5" s="11" customFormat="1" ht="15" customHeight="1" x14ac:dyDescent="0.25">
      <c r="A62" s="75"/>
      <c r="B62" s="40" t="s">
        <v>158</v>
      </c>
      <c r="C62" s="37" t="s">
        <v>17</v>
      </c>
      <c r="D62" s="128"/>
      <c r="E62" s="129"/>
    </row>
    <row r="63" spans="1:5" s="11" customFormat="1" ht="15" customHeight="1" x14ac:dyDescent="0.25">
      <c r="A63" s="75"/>
      <c r="B63" s="40" t="s">
        <v>157</v>
      </c>
      <c r="C63" s="37" t="s">
        <v>17</v>
      </c>
      <c r="D63" s="128"/>
      <c r="E63" s="129"/>
    </row>
    <row r="64" spans="1:5" s="11" customFormat="1" ht="15" customHeight="1" x14ac:dyDescent="0.25">
      <c r="A64" s="75"/>
      <c r="B64" s="40" t="s">
        <v>311</v>
      </c>
      <c r="C64" s="37" t="s">
        <v>17</v>
      </c>
      <c r="D64" s="128"/>
      <c r="E64" s="129"/>
    </row>
    <row r="65" spans="1:5" s="11" customFormat="1" ht="15" customHeight="1" x14ac:dyDescent="0.25">
      <c r="A65" s="51">
        <f>A55+1</f>
        <v>16</v>
      </c>
      <c r="B65" s="41" t="s">
        <v>140</v>
      </c>
      <c r="C65" s="37" t="s">
        <v>6</v>
      </c>
      <c r="D65" s="128"/>
      <c r="E65" s="129"/>
    </row>
    <row r="66" spans="1:5" s="11" customFormat="1" ht="30" x14ac:dyDescent="0.25">
      <c r="A66" s="51">
        <f>+A65+1</f>
        <v>17</v>
      </c>
      <c r="B66" s="41" t="s">
        <v>141</v>
      </c>
      <c r="C66" s="37" t="s">
        <v>6</v>
      </c>
      <c r="D66" s="128"/>
      <c r="E66" s="129"/>
    </row>
    <row r="67" spans="1:5" s="11" customFormat="1" x14ac:dyDescent="0.25">
      <c r="A67" s="51">
        <f>+A66+1</f>
        <v>18</v>
      </c>
      <c r="B67" s="42" t="s">
        <v>115</v>
      </c>
      <c r="C67" s="37" t="s">
        <v>96</v>
      </c>
      <c r="D67" s="128"/>
      <c r="E67" s="129"/>
    </row>
    <row r="68" spans="1:5" s="11" customFormat="1" ht="15" customHeight="1" x14ac:dyDescent="0.25">
      <c r="A68" s="51">
        <f>+A67+1</f>
        <v>19</v>
      </c>
      <c r="B68" s="78" t="s">
        <v>159</v>
      </c>
      <c r="C68" s="37" t="s">
        <v>6</v>
      </c>
      <c r="D68" s="128"/>
      <c r="E68" s="129"/>
    </row>
    <row r="69" spans="1:5" s="11" customFormat="1" ht="30" x14ac:dyDescent="0.25">
      <c r="A69" s="51">
        <f>A68+1</f>
        <v>20</v>
      </c>
      <c r="B69" s="78" t="s">
        <v>160</v>
      </c>
      <c r="C69" s="37" t="s">
        <v>6</v>
      </c>
      <c r="D69" s="128"/>
      <c r="E69" s="129"/>
    </row>
    <row r="70" spans="1:5" s="11" customFormat="1" ht="15" customHeight="1" x14ac:dyDescent="0.25">
      <c r="A70" s="51">
        <f t="shared" ref="A70:A74" si="4">A69+1</f>
        <v>21</v>
      </c>
      <c r="B70" s="42" t="s">
        <v>116</v>
      </c>
      <c r="C70" s="37" t="s">
        <v>6</v>
      </c>
      <c r="D70" s="128"/>
      <c r="E70" s="129"/>
    </row>
    <row r="71" spans="1:5" s="11" customFormat="1" ht="15" customHeight="1" x14ac:dyDescent="0.25">
      <c r="A71" s="51">
        <f t="shared" si="4"/>
        <v>22</v>
      </c>
      <c r="B71" s="42" t="s">
        <v>117</v>
      </c>
      <c r="C71" s="37" t="s">
        <v>38</v>
      </c>
      <c r="D71" s="128"/>
      <c r="E71" s="129"/>
    </row>
    <row r="72" spans="1:5" s="11" customFormat="1" ht="30" customHeight="1" x14ac:dyDescent="0.25">
      <c r="A72" s="51">
        <f t="shared" si="4"/>
        <v>23</v>
      </c>
      <c r="B72" s="78" t="s">
        <v>161</v>
      </c>
      <c r="C72" s="37" t="s">
        <v>6</v>
      </c>
      <c r="D72" s="128"/>
      <c r="E72" s="129"/>
    </row>
    <row r="73" spans="1:5" s="11" customFormat="1" x14ac:dyDescent="0.25">
      <c r="A73" s="51">
        <f t="shared" si="4"/>
        <v>24</v>
      </c>
      <c r="B73" s="44" t="s">
        <v>118</v>
      </c>
      <c r="C73" s="37" t="s">
        <v>6</v>
      </c>
      <c r="D73" s="128"/>
      <c r="E73" s="129"/>
    </row>
    <row r="74" spans="1:5" s="11" customFormat="1" ht="15" customHeight="1" x14ac:dyDescent="0.25">
      <c r="A74" s="51">
        <f t="shared" si="4"/>
        <v>25</v>
      </c>
      <c r="B74" s="131" t="s">
        <v>119</v>
      </c>
      <c r="C74" s="131"/>
      <c r="D74" s="131"/>
      <c r="E74" s="136"/>
    </row>
    <row r="75" spans="1:5" s="11" customFormat="1" ht="15" customHeight="1" x14ac:dyDescent="0.25">
      <c r="A75" s="75"/>
      <c r="B75" s="40" t="s">
        <v>39</v>
      </c>
      <c r="C75" s="37" t="s">
        <v>17</v>
      </c>
      <c r="D75" s="128"/>
      <c r="E75" s="129"/>
    </row>
    <row r="76" spans="1:5" s="11" customFormat="1" ht="15" customHeight="1" x14ac:dyDescent="0.25">
      <c r="A76" s="75"/>
      <c r="B76" s="40" t="s">
        <v>40</v>
      </c>
      <c r="C76" s="37" t="s">
        <v>17</v>
      </c>
      <c r="D76" s="128"/>
      <c r="E76" s="129"/>
    </row>
    <row r="77" spans="1:5" s="11" customFormat="1" ht="15" customHeight="1" x14ac:dyDescent="0.25">
      <c r="A77" s="75"/>
      <c r="B77" s="40" t="s">
        <v>41</v>
      </c>
      <c r="C77" s="37" t="s">
        <v>17</v>
      </c>
      <c r="D77" s="128"/>
      <c r="E77" s="129"/>
    </row>
    <row r="78" spans="1:5" s="11" customFormat="1" ht="30" customHeight="1" x14ac:dyDescent="0.25">
      <c r="A78" s="75"/>
      <c r="B78" s="40" t="s">
        <v>42</v>
      </c>
      <c r="C78" s="37" t="s">
        <v>17</v>
      </c>
      <c r="D78" s="128"/>
      <c r="E78" s="129"/>
    </row>
    <row r="79" spans="1:5" s="11" customFormat="1" x14ac:dyDescent="0.25">
      <c r="A79" s="76">
        <f>+A74+1</f>
        <v>26</v>
      </c>
      <c r="B79" s="42" t="s">
        <v>139</v>
      </c>
      <c r="C79" s="37" t="s">
        <v>6</v>
      </c>
      <c r="D79" s="128"/>
      <c r="E79" s="129"/>
    </row>
    <row r="80" spans="1:5" s="11" customFormat="1" x14ac:dyDescent="0.25">
      <c r="A80" s="76">
        <f>+A79+1</f>
        <v>27</v>
      </c>
      <c r="B80" s="42" t="s">
        <v>120</v>
      </c>
      <c r="C80" s="37" t="s">
        <v>6</v>
      </c>
      <c r="D80" s="128"/>
      <c r="E80" s="129"/>
    </row>
    <row r="81" spans="1:5" s="11" customFormat="1" ht="15" customHeight="1" x14ac:dyDescent="0.25">
      <c r="A81" s="51">
        <f>+A80+1</f>
        <v>28</v>
      </c>
      <c r="B81" s="131" t="s">
        <v>121</v>
      </c>
      <c r="C81" s="131"/>
      <c r="D81" s="131"/>
      <c r="E81" s="136"/>
    </row>
    <row r="82" spans="1:5" s="11" customFormat="1" ht="15" customHeight="1" x14ac:dyDescent="0.25">
      <c r="A82" s="75"/>
      <c r="B82" s="40" t="s">
        <v>43</v>
      </c>
      <c r="C82" s="37" t="s">
        <v>17</v>
      </c>
      <c r="D82" s="128"/>
      <c r="E82" s="129"/>
    </row>
    <row r="83" spans="1:5" s="11" customFormat="1" ht="15" customHeight="1" x14ac:dyDescent="0.25">
      <c r="A83" s="75"/>
      <c r="B83" s="40" t="s">
        <v>44</v>
      </c>
      <c r="C83" s="37" t="s">
        <v>17</v>
      </c>
      <c r="D83" s="128"/>
      <c r="E83" s="129"/>
    </row>
    <row r="84" spans="1:5" s="11" customFormat="1" ht="15" customHeight="1" x14ac:dyDescent="0.25">
      <c r="A84" s="75"/>
      <c r="B84" s="40" t="s">
        <v>45</v>
      </c>
      <c r="C84" s="37" t="s">
        <v>17</v>
      </c>
      <c r="D84" s="128"/>
      <c r="E84" s="129"/>
    </row>
    <row r="85" spans="1:5" s="11" customFormat="1" ht="30" x14ac:dyDescent="0.25">
      <c r="A85" s="76">
        <f>+A81+1</f>
        <v>29</v>
      </c>
      <c r="B85" s="42" t="s">
        <v>122</v>
      </c>
      <c r="C85" s="37" t="s">
        <v>38</v>
      </c>
      <c r="D85" s="128"/>
      <c r="E85" s="129"/>
    </row>
    <row r="86" spans="1:5" s="11" customFormat="1" x14ac:dyDescent="0.25">
      <c r="A86" s="76">
        <f>+A85+1</f>
        <v>30</v>
      </c>
      <c r="B86" s="78" t="s">
        <v>162</v>
      </c>
      <c r="C86" s="37" t="s">
        <v>38</v>
      </c>
      <c r="D86" s="128"/>
      <c r="E86" s="129"/>
    </row>
    <row r="87" spans="1:5" s="11" customFormat="1" x14ac:dyDescent="0.25">
      <c r="A87" s="50"/>
      <c r="B87" s="9"/>
      <c r="C87" s="9"/>
      <c r="D87" s="46"/>
      <c r="E87" s="45"/>
    </row>
    <row r="88" spans="1:5" s="11" customFormat="1" x14ac:dyDescent="0.25">
      <c r="A88" s="50"/>
      <c r="B88" s="9"/>
      <c r="C88" s="9"/>
      <c r="D88" s="46"/>
      <c r="E88" s="45"/>
    </row>
    <row r="89" spans="1:5" s="11" customFormat="1" x14ac:dyDescent="0.25">
      <c r="A89" s="52" t="s">
        <v>64</v>
      </c>
      <c r="B89" s="12"/>
      <c r="C89" s="9"/>
      <c r="D89" s="46"/>
      <c r="E89" s="45"/>
    </row>
    <row r="90" spans="1:5" s="9" customFormat="1" x14ac:dyDescent="0.25">
      <c r="A90" s="50"/>
      <c r="D90" s="46"/>
      <c r="E90" s="46"/>
    </row>
    <row r="91" spans="1:5" s="11" customFormat="1" ht="30" customHeight="1" x14ac:dyDescent="0.25">
      <c r="A91" s="76">
        <f>+A86+1</f>
        <v>31</v>
      </c>
      <c r="B91" s="78" t="s">
        <v>163</v>
      </c>
      <c r="C91" s="38"/>
      <c r="D91" s="132"/>
      <c r="E91" s="133"/>
    </row>
    <row r="92" spans="1:5" s="11" customFormat="1" ht="30" customHeight="1" x14ac:dyDescent="0.25">
      <c r="A92" s="76">
        <f>+A91+1</f>
        <v>32</v>
      </c>
      <c r="B92" s="131" t="s">
        <v>164</v>
      </c>
      <c r="C92" s="131" t="s">
        <v>99</v>
      </c>
      <c r="D92" s="131" t="s">
        <v>47</v>
      </c>
      <c r="E92" s="136"/>
    </row>
    <row r="93" spans="1:5" s="11" customFormat="1" x14ac:dyDescent="0.25">
      <c r="A93" s="76"/>
      <c r="B93" s="40" t="s">
        <v>101</v>
      </c>
      <c r="C93" s="37" t="s">
        <v>17</v>
      </c>
      <c r="D93" s="128"/>
      <c r="E93" s="129"/>
    </row>
    <row r="94" spans="1:5" s="11" customFormat="1" ht="30" x14ac:dyDescent="0.25">
      <c r="A94" s="76"/>
      <c r="B94" s="40" t="s">
        <v>46</v>
      </c>
      <c r="C94" s="37" t="s">
        <v>17</v>
      </c>
      <c r="D94" s="128"/>
      <c r="E94" s="129"/>
    </row>
    <row r="95" spans="1:5" s="11" customFormat="1" x14ac:dyDescent="0.25">
      <c r="A95" s="76"/>
      <c r="B95" s="40" t="s">
        <v>47</v>
      </c>
      <c r="C95" s="37" t="s">
        <v>17</v>
      </c>
      <c r="D95" s="128"/>
      <c r="E95" s="129"/>
    </row>
    <row r="96" spans="1:5" s="11" customFormat="1" ht="30" customHeight="1" x14ac:dyDescent="0.25">
      <c r="A96" s="76">
        <f>+A92+1</f>
        <v>33</v>
      </c>
      <c r="B96" s="42" t="s">
        <v>124</v>
      </c>
      <c r="C96" s="38"/>
      <c r="D96" s="132"/>
      <c r="E96" s="133"/>
    </row>
    <row r="97" spans="1:5" s="11" customFormat="1" ht="30" customHeight="1" x14ac:dyDescent="0.25">
      <c r="A97" s="76">
        <f t="shared" ref="A97:A99" si="5">+A96+1</f>
        <v>34</v>
      </c>
      <c r="B97" s="87" t="s">
        <v>312</v>
      </c>
      <c r="C97" s="38"/>
      <c r="D97" s="132"/>
      <c r="E97" s="133"/>
    </row>
    <row r="98" spans="1:5" s="11" customFormat="1" ht="15" customHeight="1" x14ac:dyDescent="0.25">
      <c r="A98" s="76">
        <f t="shared" si="5"/>
        <v>35</v>
      </c>
      <c r="B98" s="42" t="s">
        <v>123</v>
      </c>
      <c r="C98" s="37" t="s">
        <v>6</v>
      </c>
      <c r="D98" s="128"/>
      <c r="E98" s="129"/>
    </row>
    <row r="99" spans="1:5" s="11" customFormat="1" ht="15" customHeight="1" x14ac:dyDescent="0.25">
      <c r="A99" s="76">
        <f t="shared" si="5"/>
        <v>36</v>
      </c>
      <c r="B99" s="131" t="s">
        <v>173</v>
      </c>
      <c r="C99" s="131"/>
      <c r="D99" s="131"/>
      <c r="E99" s="136"/>
    </row>
    <row r="100" spans="1:5" s="11" customFormat="1" ht="15" customHeight="1" x14ac:dyDescent="0.25">
      <c r="A100" s="76"/>
      <c r="B100" s="40" t="s">
        <v>48</v>
      </c>
      <c r="C100" s="37" t="s">
        <v>17</v>
      </c>
      <c r="D100" s="128"/>
      <c r="E100" s="129"/>
    </row>
    <row r="101" spans="1:5" s="11" customFormat="1" ht="15" customHeight="1" x14ac:dyDescent="0.25">
      <c r="A101" s="76"/>
      <c r="B101" s="40" t="s">
        <v>49</v>
      </c>
      <c r="C101" s="37" t="s">
        <v>17</v>
      </c>
      <c r="D101" s="128"/>
      <c r="E101" s="129"/>
    </row>
    <row r="102" spans="1:5" s="11" customFormat="1" ht="15" customHeight="1" x14ac:dyDescent="0.25">
      <c r="A102" s="76"/>
      <c r="B102" s="40" t="s">
        <v>50</v>
      </c>
      <c r="C102" s="37" t="s">
        <v>17</v>
      </c>
      <c r="D102" s="128"/>
      <c r="E102" s="129"/>
    </row>
    <row r="103" spans="1:5" s="11" customFormat="1" ht="15" customHeight="1" x14ac:dyDescent="0.25">
      <c r="A103" s="76"/>
      <c r="B103" s="40" t="s">
        <v>51</v>
      </c>
      <c r="C103" s="37" t="s">
        <v>17</v>
      </c>
      <c r="D103" s="128"/>
      <c r="E103" s="129"/>
    </row>
    <row r="104" spans="1:5" s="11" customFormat="1" ht="15" customHeight="1" x14ac:dyDescent="0.25">
      <c r="A104" s="76"/>
      <c r="B104" s="40" t="s">
        <v>52</v>
      </c>
      <c r="C104" s="37" t="s">
        <v>17</v>
      </c>
      <c r="D104" s="128"/>
      <c r="E104" s="129"/>
    </row>
    <row r="105" spans="1:5" s="11" customFormat="1" ht="15" customHeight="1" x14ac:dyDescent="0.25">
      <c r="A105" s="76"/>
      <c r="B105" s="40" t="s">
        <v>53</v>
      </c>
      <c r="C105" s="37" t="s">
        <v>17</v>
      </c>
      <c r="D105" s="128"/>
      <c r="E105" s="129"/>
    </row>
    <row r="106" spans="1:5" s="11" customFormat="1" ht="15" customHeight="1" x14ac:dyDescent="0.25">
      <c r="A106" s="76"/>
      <c r="B106" s="40" t="s">
        <v>54</v>
      </c>
      <c r="C106" s="37" t="s">
        <v>17</v>
      </c>
      <c r="D106" s="128"/>
      <c r="E106" s="129"/>
    </row>
    <row r="107" spans="1:5" s="11" customFormat="1" ht="15" customHeight="1" x14ac:dyDescent="0.25">
      <c r="A107" s="51">
        <f>+A99+1</f>
        <v>37</v>
      </c>
      <c r="B107" s="131" t="s">
        <v>125</v>
      </c>
      <c r="C107" s="131"/>
      <c r="D107" s="131"/>
      <c r="E107" s="136"/>
    </row>
    <row r="108" spans="1:5" s="11" customFormat="1" ht="15" customHeight="1" x14ac:dyDescent="0.25">
      <c r="A108" s="75"/>
      <c r="B108" s="40" t="s">
        <v>55</v>
      </c>
      <c r="C108" s="37" t="s">
        <v>17</v>
      </c>
      <c r="D108" s="128"/>
      <c r="E108" s="129"/>
    </row>
    <row r="109" spans="1:5" s="11" customFormat="1" ht="15" customHeight="1" x14ac:dyDescent="0.25">
      <c r="A109" s="75"/>
      <c r="B109" s="40" t="s">
        <v>56</v>
      </c>
      <c r="C109" s="37" t="s">
        <v>17</v>
      </c>
      <c r="D109" s="128"/>
      <c r="E109" s="129"/>
    </row>
    <row r="110" spans="1:5" s="11" customFormat="1" ht="15" customHeight="1" x14ac:dyDescent="0.25">
      <c r="A110" s="75"/>
      <c r="B110" s="40" t="s">
        <v>57</v>
      </c>
      <c r="C110" s="37" t="s">
        <v>17</v>
      </c>
      <c r="D110" s="128"/>
      <c r="E110" s="129"/>
    </row>
    <row r="111" spans="1:5" s="11" customFormat="1" ht="15" customHeight="1" x14ac:dyDescent="0.25">
      <c r="A111" s="75"/>
      <c r="B111" s="40" t="s">
        <v>58</v>
      </c>
      <c r="C111" s="37" t="s">
        <v>17</v>
      </c>
      <c r="D111" s="128"/>
      <c r="E111" s="129"/>
    </row>
    <row r="112" spans="1:5" s="11" customFormat="1" ht="15" customHeight="1" x14ac:dyDescent="0.25">
      <c r="A112" s="75"/>
      <c r="B112" s="40" t="s">
        <v>59</v>
      </c>
      <c r="C112" s="37" t="s">
        <v>17</v>
      </c>
      <c r="D112" s="128"/>
      <c r="E112" s="129"/>
    </row>
    <row r="113" spans="1:8" s="11" customFormat="1" ht="30" customHeight="1" x14ac:dyDescent="0.25">
      <c r="A113" s="51">
        <f>+A107+1</f>
        <v>38</v>
      </c>
      <c r="B113" s="95" t="s">
        <v>126</v>
      </c>
      <c r="C113" s="38"/>
      <c r="D113" s="132"/>
      <c r="E113" s="133"/>
    </row>
    <row r="114" spans="1:8" s="11" customFormat="1" x14ac:dyDescent="0.25">
      <c r="A114" s="51">
        <f>+A113+1</f>
        <v>39</v>
      </c>
      <c r="B114" s="131" t="s">
        <v>138</v>
      </c>
      <c r="C114" s="131" t="s">
        <v>100</v>
      </c>
      <c r="D114" s="131" t="s">
        <v>101</v>
      </c>
      <c r="E114" s="136"/>
    </row>
    <row r="115" spans="1:8" s="11" customFormat="1" x14ac:dyDescent="0.25">
      <c r="A115" s="51"/>
      <c r="B115" s="40" t="s">
        <v>101</v>
      </c>
      <c r="C115" s="37" t="s">
        <v>17</v>
      </c>
      <c r="D115" s="128"/>
      <c r="E115" s="129"/>
    </row>
    <row r="116" spans="1:8" s="11" customFormat="1" ht="30" customHeight="1" x14ac:dyDescent="0.25">
      <c r="A116" s="51"/>
      <c r="B116" s="40" t="s">
        <v>60</v>
      </c>
      <c r="C116" s="37" t="s">
        <v>17</v>
      </c>
      <c r="D116" s="128"/>
      <c r="E116" s="129"/>
    </row>
    <row r="117" spans="1:8" s="11" customFormat="1" x14ac:dyDescent="0.25">
      <c r="A117" s="51"/>
      <c r="B117" s="40" t="s">
        <v>61</v>
      </c>
      <c r="C117" s="37" t="s">
        <v>17</v>
      </c>
      <c r="D117" s="128"/>
      <c r="E117" s="129"/>
    </row>
    <row r="118" spans="1:8" s="11" customFormat="1" ht="31.5" customHeight="1" x14ac:dyDescent="0.25">
      <c r="A118" s="51">
        <f>+A114+1</f>
        <v>40</v>
      </c>
      <c r="B118" s="42" t="s">
        <v>127</v>
      </c>
      <c r="C118" s="37" t="s">
        <v>6</v>
      </c>
      <c r="D118" s="128"/>
      <c r="E118" s="129"/>
    </row>
    <row r="119" spans="1:8" s="11" customFormat="1" ht="30.75" customHeight="1" x14ac:dyDescent="0.25">
      <c r="A119" s="51">
        <f>+A118+1</f>
        <v>41</v>
      </c>
      <c r="B119" s="131" t="s">
        <v>165</v>
      </c>
      <c r="C119" s="131"/>
      <c r="D119" s="131"/>
      <c r="E119" s="136"/>
    </row>
    <row r="120" spans="1:8" s="11" customFormat="1" ht="15" customHeight="1" x14ac:dyDescent="0.25">
      <c r="A120" s="75"/>
      <c r="B120" s="40" t="s">
        <v>62</v>
      </c>
      <c r="C120" s="37" t="s">
        <v>17</v>
      </c>
      <c r="D120" s="128"/>
      <c r="E120" s="129"/>
    </row>
    <row r="121" spans="1:8" s="11" customFormat="1" ht="15" customHeight="1" x14ac:dyDescent="0.25">
      <c r="A121" s="75"/>
      <c r="B121" s="40" t="s">
        <v>63</v>
      </c>
      <c r="C121" s="37" t="s">
        <v>17</v>
      </c>
      <c r="D121" s="128"/>
      <c r="E121" s="129"/>
    </row>
    <row r="122" spans="1:8" s="11" customFormat="1" ht="15" customHeight="1" x14ac:dyDescent="0.25">
      <c r="A122" s="77"/>
    </row>
    <row r="123" spans="1:8" s="11" customFormat="1" ht="45" x14ac:dyDescent="0.25">
      <c r="A123" s="51">
        <f>+A119+1</f>
        <v>42</v>
      </c>
      <c r="B123" s="42" t="s">
        <v>128</v>
      </c>
      <c r="C123" s="5"/>
      <c r="D123" s="13" t="s">
        <v>69</v>
      </c>
      <c r="E123" s="13" t="s">
        <v>166</v>
      </c>
      <c r="F123" s="13" t="s">
        <v>167</v>
      </c>
      <c r="G123" s="13" t="s">
        <v>70</v>
      </c>
      <c r="H123" s="13" t="s">
        <v>71</v>
      </c>
    </row>
    <row r="124" spans="1:8" s="11" customFormat="1" ht="15" customHeight="1" x14ac:dyDescent="0.25">
      <c r="A124" s="75"/>
      <c r="B124" s="40" t="s">
        <v>65</v>
      </c>
      <c r="C124" s="38"/>
      <c r="D124" s="47"/>
      <c r="E124" s="47"/>
      <c r="F124" s="47"/>
      <c r="G124" s="47"/>
      <c r="H124" s="6"/>
    </row>
    <row r="125" spans="1:8" s="11" customFormat="1" ht="15" customHeight="1" x14ac:dyDescent="0.25">
      <c r="A125" s="75"/>
      <c r="B125" s="40" t="s">
        <v>66</v>
      </c>
      <c r="C125" s="38"/>
      <c r="D125" s="47"/>
      <c r="E125" s="47"/>
      <c r="F125" s="47"/>
      <c r="G125" s="47"/>
      <c r="H125" s="6"/>
    </row>
    <row r="126" spans="1:8" s="11" customFormat="1" ht="15" customHeight="1" x14ac:dyDescent="0.25">
      <c r="A126" s="75"/>
      <c r="B126" s="40" t="s">
        <v>67</v>
      </c>
      <c r="C126" s="38"/>
      <c r="D126" s="47"/>
      <c r="E126" s="47"/>
      <c r="F126" s="47"/>
      <c r="G126" s="47"/>
      <c r="H126" s="6"/>
    </row>
    <row r="127" spans="1:8" s="11" customFormat="1" ht="15" customHeight="1" x14ac:dyDescent="0.25">
      <c r="A127" s="75"/>
      <c r="B127" s="40" t="s">
        <v>75</v>
      </c>
      <c r="C127" s="38"/>
      <c r="D127" s="47"/>
      <c r="E127" s="47"/>
      <c r="F127" s="47"/>
      <c r="G127" s="47"/>
      <c r="H127" s="6"/>
    </row>
    <row r="128" spans="1:8" s="11" customFormat="1" ht="15" customHeight="1" x14ac:dyDescent="0.25">
      <c r="A128" s="75"/>
      <c r="B128" s="40" t="s">
        <v>68</v>
      </c>
      <c r="C128" s="38"/>
      <c r="D128" s="47"/>
      <c r="E128" s="47"/>
      <c r="F128" s="47"/>
      <c r="G128" s="47"/>
      <c r="H128" s="39"/>
    </row>
    <row r="129" spans="1:5" s="11" customFormat="1" ht="15" customHeight="1" x14ac:dyDescent="0.25">
      <c r="A129" s="77"/>
    </row>
    <row r="130" spans="1:5" s="11" customFormat="1" ht="15" customHeight="1" x14ac:dyDescent="0.25">
      <c r="A130" s="51">
        <f>+A123+1</f>
        <v>43</v>
      </c>
      <c r="B130" s="42" t="s">
        <v>129</v>
      </c>
      <c r="C130" s="42"/>
      <c r="D130" s="42"/>
      <c r="E130" s="43"/>
    </row>
    <row r="131" spans="1:5" s="11" customFormat="1" ht="15" customHeight="1" x14ac:dyDescent="0.25">
      <c r="A131" s="75"/>
      <c r="B131" s="40" t="s">
        <v>72</v>
      </c>
      <c r="C131" s="37" t="s">
        <v>17</v>
      </c>
      <c r="D131" s="128"/>
      <c r="E131" s="129"/>
    </row>
    <row r="132" spans="1:5" s="11" customFormat="1" ht="15" customHeight="1" x14ac:dyDescent="0.25">
      <c r="A132" s="75"/>
      <c r="B132" s="40" t="s">
        <v>73</v>
      </c>
      <c r="C132" s="37" t="s">
        <v>17</v>
      </c>
      <c r="D132" s="128"/>
      <c r="E132" s="129"/>
    </row>
    <row r="133" spans="1:5" s="11" customFormat="1" ht="15" customHeight="1" x14ac:dyDescent="0.25">
      <c r="A133" s="75"/>
      <c r="B133" s="40" t="s">
        <v>74</v>
      </c>
      <c r="C133" s="37" t="s">
        <v>17</v>
      </c>
      <c r="D133" s="128"/>
      <c r="E133" s="129"/>
    </row>
    <row r="134" spans="1:5" s="11" customFormat="1" ht="15" customHeight="1" x14ac:dyDescent="0.25">
      <c r="A134" s="75"/>
      <c r="B134" s="40" t="s">
        <v>313</v>
      </c>
      <c r="C134" s="37" t="s">
        <v>17</v>
      </c>
      <c r="D134" s="128"/>
      <c r="E134" s="129"/>
    </row>
    <row r="135" spans="1:5" s="11" customFormat="1" ht="15" customHeight="1" x14ac:dyDescent="0.25">
      <c r="A135" s="75"/>
      <c r="B135" s="40" t="s">
        <v>18</v>
      </c>
      <c r="C135" s="38"/>
      <c r="D135" s="132"/>
      <c r="E135" s="133"/>
    </row>
    <row r="136" spans="1:5" s="11" customFormat="1" ht="30" customHeight="1" x14ac:dyDescent="0.25">
      <c r="A136" s="51">
        <f>+A130+1</f>
        <v>44</v>
      </c>
      <c r="B136" s="42" t="s">
        <v>130</v>
      </c>
      <c r="C136" s="37" t="s">
        <v>6</v>
      </c>
      <c r="D136" s="128"/>
      <c r="E136" s="129"/>
    </row>
    <row r="137" spans="1:5" s="11" customFormat="1" ht="30" x14ac:dyDescent="0.25">
      <c r="A137" s="51">
        <f>+A136+1</f>
        <v>45</v>
      </c>
      <c r="B137" s="78" t="s">
        <v>314</v>
      </c>
      <c r="C137" s="37" t="s">
        <v>6</v>
      </c>
      <c r="D137" s="128"/>
      <c r="E137" s="129"/>
    </row>
    <row r="138" spans="1:5" s="11" customFormat="1" ht="45" x14ac:dyDescent="0.25">
      <c r="A138" s="51">
        <f>+A137+1</f>
        <v>46</v>
      </c>
      <c r="B138" s="79" t="s">
        <v>315</v>
      </c>
      <c r="C138" s="37" t="s">
        <v>6</v>
      </c>
      <c r="D138" s="128"/>
      <c r="E138" s="129"/>
    </row>
    <row r="139" spans="1:5" s="11" customFormat="1" ht="30" x14ac:dyDescent="0.25">
      <c r="A139" s="51">
        <f>+A138+1</f>
        <v>47</v>
      </c>
      <c r="B139" s="78" t="s">
        <v>168</v>
      </c>
      <c r="C139" s="37" t="s">
        <v>6</v>
      </c>
      <c r="D139" s="128"/>
      <c r="E139" s="129"/>
    </row>
    <row r="140" spans="1:5" s="11" customFormat="1" x14ac:dyDescent="0.25">
      <c r="A140" s="50"/>
      <c r="B140" s="9"/>
      <c r="C140" s="9"/>
      <c r="D140" s="46"/>
      <c r="E140" s="45"/>
    </row>
    <row r="141" spans="1:5" s="11" customFormat="1" x14ac:dyDescent="0.25">
      <c r="A141" s="50"/>
      <c r="B141" s="9"/>
      <c r="C141" s="9"/>
      <c r="D141" s="46"/>
      <c r="E141" s="45"/>
    </row>
    <row r="142" spans="1:5" s="11" customFormat="1" x14ac:dyDescent="0.25">
      <c r="A142" s="52" t="s">
        <v>76</v>
      </c>
      <c r="B142" s="12"/>
      <c r="C142" s="9"/>
      <c r="D142" s="46"/>
      <c r="E142" s="45"/>
    </row>
    <row r="143" spans="1:5" s="9" customFormat="1" x14ac:dyDescent="0.25">
      <c r="A143" s="50"/>
      <c r="D143" s="46"/>
      <c r="E143" s="46"/>
    </row>
    <row r="144" spans="1:5" s="11" customFormat="1" ht="15" customHeight="1" x14ac:dyDescent="0.25">
      <c r="A144" s="51">
        <f>+A139+1</f>
        <v>48</v>
      </c>
      <c r="B144" s="42" t="s">
        <v>133</v>
      </c>
      <c r="C144" s="37" t="s">
        <v>6</v>
      </c>
      <c r="D144" s="128"/>
      <c r="E144" s="129"/>
    </row>
    <row r="145" spans="1:7" s="11" customFormat="1" ht="15" customHeight="1" x14ac:dyDescent="0.25">
      <c r="A145" s="51">
        <f>+A144+1</f>
        <v>49</v>
      </c>
      <c r="B145" s="42" t="s">
        <v>316</v>
      </c>
      <c r="C145" s="5"/>
      <c r="D145" s="132"/>
      <c r="E145" s="133"/>
    </row>
    <row r="146" spans="1:7" s="11" customFormat="1" x14ac:dyDescent="0.25">
      <c r="A146" s="50"/>
      <c r="B146" s="9"/>
      <c r="C146" s="9"/>
      <c r="D146" s="46"/>
      <c r="E146" s="45"/>
    </row>
    <row r="147" spans="1:7" s="11" customFormat="1" x14ac:dyDescent="0.25">
      <c r="A147" s="50"/>
      <c r="B147" s="9"/>
      <c r="C147" s="9"/>
      <c r="D147" s="46"/>
      <c r="E147" s="45"/>
    </row>
    <row r="148" spans="1:7" s="11" customFormat="1" x14ac:dyDescent="0.25">
      <c r="A148" s="52" t="s">
        <v>77</v>
      </c>
      <c r="B148" s="12"/>
      <c r="C148" s="9"/>
      <c r="D148" s="46"/>
      <c r="E148" s="45"/>
    </row>
    <row r="149" spans="1:7" s="9" customFormat="1" x14ac:dyDescent="0.25">
      <c r="A149" s="50"/>
      <c r="D149" s="46"/>
      <c r="E149" s="46"/>
    </row>
    <row r="150" spans="1:7" s="11" customFormat="1" ht="30" x14ac:dyDescent="0.25">
      <c r="A150" s="51">
        <f>+A145+1</f>
        <v>50</v>
      </c>
      <c r="B150" s="42" t="s">
        <v>134</v>
      </c>
      <c r="C150" s="5"/>
      <c r="D150" s="13" t="s">
        <v>78</v>
      </c>
      <c r="E150" s="13" t="s">
        <v>81</v>
      </c>
      <c r="F150" s="13" t="s">
        <v>79</v>
      </c>
      <c r="G150" s="13" t="s">
        <v>80</v>
      </c>
    </row>
    <row r="151" spans="1:7" s="11" customFormat="1" ht="15" customHeight="1" x14ac:dyDescent="0.25">
      <c r="A151" s="75"/>
      <c r="B151" s="40" t="s">
        <v>317</v>
      </c>
      <c r="C151" s="37"/>
      <c r="D151" s="47"/>
      <c r="E151" s="47"/>
      <c r="F151" s="6"/>
      <c r="G151" s="6"/>
    </row>
    <row r="152" spans="1:7" s="11" customFormat="1" ht="15" customHeight="1" x14ac:dyDescent="0.25">
      <c r="A152" s="75"/>
      <c r="B152" s="40" t="s">
        <v>48</v>
      </c>
      <c r="C152" s="37"/>
      <c r="D152" s="47"/>
      <c r="E152" s="47"/>
      <c r="F152" s="6"/>
      <c r="G152" s="6"/>
    </row>
    <row r="153" spans="1:7" s="11" customFormat="1" ht="15" customHeight="1" x14ac:dyDescent="0.25">
      <c r="A153" s="75"/>
      <c r="B153" s="40" t="s">
        <v>49</v>
      </c>
      <c r="C153" s="37"/>
      <c r="D153" s="47"/>
      <c r="E153" s="47"/>
      <c r="F153" s="6"/>
      <c r="G153" s="6"/>
    </row>
    <row r="154" spans="1:7" s="11" customFormat="1" ht="15" customHeight="1" x14ac:dyDescent="0.25">
      <c r="A154" s="75"/>
      <c r="B154" s="40" t="s">
        <v>82</v>
      </c>
      <c r="C154" s="37"/>
      <c r="D154" s="47"/>
      <c r="E154" s="47"/>
      <c r="F154" s="6"/>
      <c r="G154" s="6"/>
    </row>
    <row r="155" spans="1:7" s="11" customFormat="1" ht="15" customHeight="1" x14ac:dyDescent="0.25">
      <c r="A155" s="75"/>
      <c r="B155" s="40" t="s">
        <v>83</v>
      </c>
      <c r="C155" s="37"/>
      <c r="D155" s="47"/>
      <c r="E155" s="47"/>
      <c r="F155" s="6"/>
      <c r="G155" s="6"/>
    </row>
    <row r="156" spans="1:7" s="11" customFormat="1" ht="15" customHeight="1" x14ac:dyDescent="0.25">
      <c r="A156" s="77"/>
    </row>
    <row r="157" spans="1:7" s="11" customFormat="1" ht="30" customHeight="1" x14ac:dyDescent="0.25">
      <c r="A157" s="51">
        <f>+A150+1</f>
        <v>51</v>
      </c>
      <c r="B157" s="42" t="s">
        <v>142</v>
      </c>
      <c r="C157" s="37" t="s">
        <v>6</v>
      </c>
      <c r="D157" s="128"/>
      <c r="E157" s="129"/>
    </row>
    <row r="158" spans="1:7" s="11" customFormat="1" ht="15" customHeight="1" x14ac:dyDescent="0.25">
      <c r="A158" s="51">
        <f>+A157+1</f>
        <v>52</v>
      </c>
      <c r="B158" s="42" t="s">
        <v>135</v>
      </c>
      <c r="C158" s="37" t="s">
        <v>6</v>
      </c>
      <c r="D158" s="128"/>
      <c r="E158" s="129"/>
    </row>
    <row r="159" spans="1:7" s="11" customFormat="1" ht="15" customHeight="1" x14ac:dyDescent="0.25">
      <c r="A159" s="51">
        <f t="shared" ref="A159:A162" si="6">+A158+1</f>
        <v>53</v>
      </c>
      <c r="B159" s="42" t="s">
        <v>136</v>
      </c>
      <c r="C159" s="37" t="s">
        <v>6</v>
      </c>
      <c r="D159" s="128"/>
      <c r="E159" s="129"/>
    </row>
    <row r="160" spans="1:7" s="11" customFormat="1" ht="15" customHeight="1" x14ac:dyDescent="0.25">
      <c r="A160" s="51">
        <f t="shared" si="6"/>
        <v>54</v>
      </c>
      <c r="B160" s="42" t="s">
        <v>137</v>
      </c>
      <c r="C160" s="37" t="s">
        <v>6</v>
      </c>
      <c r="D160" s="128"/>
      <c r="E160" s="129"/>
    </row>
    <row r="161" spans="1:5" s="11" customFormat="1" ht="30" customHeight="1" x14ac:dyDescent="0.25">
      <c r="A161" s="51">
        <f t="shared" si="6"/>
        <v>55</v>
      </c>
      <c r="B161" s="78" t="s">
        <v>169</v>
      </c>
      <c r="C161" s="37" t="s">
        <v>6</v>
      </c>
      <c r="D161" s="128"/>
      <c r="E161" s="129"/>
    </row>
    <row r="162" spans="1:5" s="11" customFormat="1" x14ac:dyDescent="0.25">
      <c r="A162" s="51">
        <f t="shared" si="6"/>
        <v>56</v>
      </c>
      <c r="B162" s="42" t="s">
        <v>318</v>
      </c>
      <c r="C162" s="37" t="s">
        <v>6</v>
      </c>
      <c r="D162" s="128"/>
      <c r="E162" s="129"/>
    </row>
  </sheetData>
  <sheetProtection sheet="1" objects="1" scenarios="1"/>
  <mergeCells count="123">
    <mergeCell ref="A21:B21"/>
    <mergeCell ref="D49:E49"/>
    <mergeCell ref="D65:E65"/>
    <mergeCell ref="D66:E66"/>
    <mergeCell ref="A13:B13"/>
    <mergeCell ref="D13:E13"/>
    <mergeCell ref="A8:B8"/>
    <mergeCell ref="A9:B9"/>
    <mergeCell ref="A11:B11"/>
    <mergeCell ref="A14:B14"/>
    <mergeCell ref="A10:B10"/>
    <mergeCell ref="A15:B15"/>
    <mergeCell ref="A16:B16"/>
    <mergeCell ref="A17:B17"/>
    <mergeCell ref="D8:E8"/>
    <mergeCell ref="D9:E9"/>
    <mergeCell ref="D11:E11"/>
    <mergeCell ref="D14:E14"/>
    <mergeCell ref="D10:E10"/>
    <mergeCell ref="D15:E15"/>
    <mergeCell ref="D16:E16"/>
    <mergeCell ref="D17:E17"/>
    <mergeCell ref="D36:E36"/>
    <mergeCell ref="D37:E37"/>
    <mergeCell ref="D46:E46"/>
    <mergeCell ref="D75:E75"/>
    <mergeCell ref="D76:E76"/>
    <mergeCell ref="D77:E77"/>
    <mergeCell ref="D27:E27"/>
    <mergeCell ref="D28:E28"/>
    <mergeCell ref="D30:E30"/>
    <mergeCell ref="D57:E57"/>
    <mergeCell ref="D34:E34"/>
    <mergeCell ref="D32:E32"/>
    <mergeCell ref="D35:E35"/>
    <mergeCell ref="D52:E52"/>
    <mergeCell ref="D31:E31"/>
    <mergeCell ref="D59:E59"/>
    <mergeCell ref="D60:E60"/>
    <mergeCell ref="D62:E62"/>
    <mergeCell ref="D69:E69"/>
    <mergeCell ref="D54:E54"/>
    <mergeCell ref="D63:E63"/>
    <mergeCell ref="D70:E70"/>
    <mergeCell ref="D73:E73"/>
    <mergeCell ref="D33:E33"/>
    <mergeCell ref="D64:E64"/>
    <mergeCell ref="D58:E58"/>
    <mergeCell ref="D136:E136"/>
    <mergeCell ref="D131:E131"/>
    <mergeCell ref="D112:E112"/>
    <mergeCell ref="D113:E113"/>
    <mergeCell ref="D134:E134"/>
    <mergeCell ref="D159:E159"/>
    <mergeCell ref="D115:E115"/>
    <mergeCell ref="D116:E116"/>
    <mergeCell ref="D117:E117"/>
    <mergeCell ref="B114:E114"/>
    <mergeCell ref="D121:E121"/>
    <mergeCell ref="D118:E118"/>
    <mergeCell ref="D120:E120"/>
    <mergeCell ref="D91:E91"/>
    <mergeCell ref="D108:E108"/>
    <mergeCell ref="D109:E109"/>
    <mergeCell ref="D110:E110"/>
    <mergeCell ref="D111:E111"/>
    <mergeCell ref="D104:E104"/>
    <mergeCell ref="D105:E105"/>
    <mergeCell ref="D106:E106"/>
    <mergeCell ref="D96:E96"/>
    <mergeCell ref="D98:E98"/>
    <mergeCell ref="D102:E102"/>
    <mergeCell ref="D103:E103"/>
    <mergeCell ref="D100:E100"/>
    <mergeCell ref="B99:E99"/>
    <mergeCell ref="B55:E55"/>
    <mergeCell ref="B74:E74"/>
    <mergeCell ref="B107:E107"/>
    <mergeCell ref="B119:E119"/>
    <mergeCell ref="D79:E79"/>
    <mergeCell ref="D71:E71"/>
    <mergeCell ref="D72:E72"/>
    <mergeCell ref="D82:E82"/>
    <mergeCell ref="D84:E84"/>
    <mergeCell ref="D85:E85"/>
    <mergeCell ref="D78:E78"/>
    <mergeCell ref="D80:E80"/>
    <mergeCell ref="D101:E101"/>
    <mergeCell ref="D97:E97"/>
    <mergeCell ref="D93:E93"/>
    <mergeCell ref="D94:E94"/>
    <mergeCell ref="D95:E95"/>
    <mergeCell ref="D61:E61"/>
    <mergeCell ref="D68:E68"/>
    <mergeCell ref="D67:E67"/>
    <mergeCell ref="D56:E56"/>
    <mergeCell ref="B92:E92"/>
    <mergeCell ref="B81:E81"/>
    <mergeCell ref="D86:E86"/>
    <mergeCell ref="D47:E47"/>
    <mergeCell ref="D48:E48"/>
    <mergeCell ref="A12:B12"/>
    <mergeCell ref="D12:E12"/>
    <mergeCell ref="D138:E138"/>
    <mergeCell ref="D162:E162"/>
    <mergeCell ref="D50:E50"/>
    <mergeCell ref="D51:E51"/>
    <mergeCell ref="D139:E139"/>
    <mergeCell ref="D145:E145"/>
    <mergeCell ref="D132:E132"/>
    <mergeCell ref="D133:E133"/>
    <mergeCell ref="D135:E135"/>
    <mergeCell ref="D137:E137"/>
    <mergeCell ref="D160:E160"/>
    <mergeCell ref="D144:E144"/>
    <mergeCell ref="A20:B20"/>
    <mergeCell ref="A22:B22"/>
    <mergeCell ref="D53:E53"/>
    <mergeCell ref="D157:E157"/>
    <mergeCell ref="D158:E158"/>
    <mergeCell ref="D161:E161"/>
    <mergeCell ref="B29:E29"/>
    <mergeCell ref="D83:E83"/>
  </mergeCells>
  <dataValidations count="3">
    <dataValidation type="list" allowBlank="1" showInputMessage="1" showErrorMessage="1" sqref="D151:G155 H124:H127 D124:G128">
      <formula1>"Check"</formula1>
    </dataValidation>
    <dataValidation type="list" allowBlank="1" showInputMessage="1" showErrorMessage="1" sqref="D144 D92:D95 D9 D51:D54 D82:D86 D56:D73 D30:D33 D98 D157:D162 D100:D106 D75:D80 D120:D121 D108:D112 D136:D139 D12 D27:D28 D114:D118 D131:D134 D35:D36 D46:D49">
      <formula1>Sublist_Left</formula1>
    </dataValidation>
    <dataValidation type="whole" operator="greaterThanOrEqual" allowBlank="1" showInputMessage="1" showErrorMessage="1" error="Please enter a whole number" sqref="D145:E145 D113:E113 D37 D91:E91 D50 D96:E97 D20:E22 D11 D43:F44">
      <formula1>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showGridLines="0" zoomScaleNormal="100" workbookViewId="0"/>
  </sheetViews>
  <sheetFormatPr defaultRowHeight="15" x14ac:dyDescent="0.25"/>
  <cols>
    <col min="1" max="1" width="2.5703125" style="2" customWidth="1"/>
    <col min="2" max="2" width="12.7109375" style="2" customWidth="1"/>
    <col min="3" max="6" width="16.28515625" style="2" customWidth="1"/>
    <col min="7" max="7" width="2.42578125" style="2" customWidth="1"/>
    <col min="8" max="8" width="14" style="2" bestFit="1" customWidth="1"/>
    <col min="9" max="16384" width="9.140625" style="2"/>
  </cols>
  <sheetData>
    <row r="1" spans="2:9" x14ac:dyDescent="0.25">
      <c r="B1" s="17" t="s">
        <v>396</v>
      </c>
      <c r="C1" s="112"/>
      <c r="D1" s="112"/>
      <c r="E1" s="112"/>
      <c r="F1" s="112"/>
    </row>
    <row r="2" spans="2:9" x14ac:dyDescent="0.25">
      <c r="B2" s="33" t="str">
        <f>Entry!D10 &amp; IF(Entry!D13&lt;&gt;"", ", "  &amp; Entry!D13, "") &amp; ", " &amp; Entry!D14</f>
        <v xml:space="preserve">, </v>
      </c>
      <c r="C2" s="112"/>
      <c r="D2" s="112"/>
      <c r="E2" s="112"/>
      <c r="F2" s="112"/>
      <c r="H2" s="119" t="s">
        <v>405</v>
      </c>
      <c r="I2" s="124" t="s">
        <v>10</v>
      </c>
    </row>
    <row r="3" spans="2:9" x14ac:dyDescent="0.25">
      <c r="B3" s="34"/>
    </row>
    <row r="4" spans="2:9" ht="45" customHeight="1" x14ac:dyDescent="0.25">
      <c r="B4" s="115" t="s">
        <v>351</v>
      </c>
      <c r="C4" s="113" t="str">
        <f>"Safe Drinking Water" &amp; CHAR(10) &amp; " " &amp; IF(Charts!P90&gt;0,REPT("★",Charts!P90),"0 Star") &amp; " "</f>
        <v xml:space="preserve">Safe Drinking Water
 0 Star </v>
      </c>
      <c r="D4" s="127" t="str">
        <f>"Water Testing" &amp; CHAR(10) &amp; CHAR(10) &amp; " " &amp; IF(Charts!P91&gt;0,REPT("★",Charts!P91),"0 Star") &amp; " "</f>
        <v xml:space="preserve">Water Testing
 0 Star </v>
      </c>
      <c r="E4" s="127" t="str">
        <f>"Water for" &amp; CHAR(10) &amp; "Cleaning" &amp; CHAR(10) &amp; " " &amp; IF(Charts!P92&gt;0,REPT("★",Charts!P92),"0 Star") &amp; " "</f>
        <v xml:space="preserve">Water for
Cleaning
 0 Star </v>
      </c>
    </row>
    <row r="5" spans="2:9" ht="45" customHeight="1" x14ac:dyDescent="0.25">
      <c r="B5" s="143" t="s">
        <v>88</v>
      </c>
      <c r="C5" s="113" t="str">
        <f>"Segregated Toilets" &amp; CHAR(10) &amp; " " &amp; IF(Charts!P96&gt;0,REPT("★",Charts!P96),"0 Star") &amp; " "</f>
        <v xml:space="preserve">Segregated Toilets
 0 Star </v>
      </c>
      <c r="D5" s="113" t="str">
        <f>"Security of" &amp; CHAR(10) &amp; "Toilets" &amp; CHAR(10) &amp; " " &amp; IF(Charts!P97&gt;0,REPT("★",Charts!P97),"0 Star") &amp; " "</f>
        <v xml:space="preserve">Security of
Toilets
 0 Star </v>
      </c>
      <c r="E5" s="113" t="str">
        <f>"Wash Facility for Toilets" &amp; CHAR(10) &amp; " " &amp; IF(Charts!P98&gt;0,REPT("★",Charts!P98),"0 Star") &amp; " "</f>
        <v xml:space="preserve">Wash Facility for Toilets
 ★ </v>
      </c>
      <c r="F5" s="113" t="str">
        <f>"Wash Facility for MHM" &amp; CHAR(10) &amp; " " &amp; IF(Charts!P99&gt;0,REPT("★",Charts!P99),"0 Star") &amp; " "</f>
        <v xml:space="preserve">Wash Facility for MHM
 ★ </v>
      </c>
    </row>
    <row r="6" spans="2:9" ht="45" customHeight="1" x14ac:dyDescent="0.25">
      <c r="B6" s="144"/>
      <c r="C6" s="113" t="str">
        <f>"Safety of Detached Toilets" &amp; CHAR(10) &amp; " " &amp; IF(Charts!P100&gt;0,REPT("★",Charts!P100),"0 Star") &amp; " "</f>
        <v xml:space="preserve">Safety of Detached Toilets
 ★ </v>
      </c>
      <c r="D6" s="113" t="str">
        <f>"Toilets for " &amp; CHAR(10) &amp; "Disabled" &amp; CHAR(10) &amp; " " &amp; IF(Charts!P101&gt;0,REPT("★",Charts!P101),"0 Star") &amp; " "</f>
        <v xml:space="preserve">Toilets for 
Disabled
 ★★ </v>
      </c>
      <c r="E6" s="113" t="str">
        <f>"Daily Cleaning of Toilets" &amp; CHAR(10) &amp; " " &amp; IF(Charts!P102&gt;0,REPT("★",Charts!P102),"0 Star") &amp; " "</f>
        <v xml:space="preserve">Daily Cleaning of Toilets
 0 Star </v>
      </c>
      <c r="F6" s="113" t="str">
        <f>"Funding for " &amp; CHAR(10) &amp; "Repairs" &amp; CHAR(10) &amp; " " &amp; IF(Charts!P103&gt;0,REPT("★",Charts!P103),"0 Star") &amp; " "</f>
        <v xml:space="preserve">Funding for 
Repairs
 0 Star </v>
      </c>
    </row>
    <row r="7" spans="2:9" ht="45" customHeight="1" x14ac:dyDescent="0.25">
      <c r="B7" s="144"/>
      <c r="C7" s="113" t="str">
        <f>"Burning of Waste" &amp; CHAR(10) &amp; CHAR(10) &amp; " " &amp; IF(Charts!P104&gt;0,REPT("★",Charts!P104),"0 Star") &amp; " "</f>
        <v xml:space="preserve">Burning of Waste
 0 Star </v>
      </c>
      <c r="D7" s="113" t="str">
        <f>"Segregated Trash Bins" &amp; CHAR(10) &amp; " " &amp; IF(Charts!P105&gt;0,REPT("★",Charts!P105),"0 Star") &amp; " "</f>
        <v xml:space="preserve">Segregated Trash Bins
 0 Star </v>
      </c>
      <c r="E7" s="113" t="str">
        <f>"Waste " &amp; CHAR(10) &amp; "Segregation" &amp; CHAR(10) &amp; " " &amp; IF(Charts!P106&gt;0,REPT("★",Charts!P106),"0 Star") &amp; " "</f>
        <v xml:space="preserve">Waste 
Segregation
 0 Star </v>
      </c>
      <c r="F7" s="113" t="str">
        <f>"Garbage " &amp; CHAR(10) &amp; "Collection" &amp; CHAR(10) &amp; " " &amp; IF(Charts!P107&gt;0,REPT("★",Charts!P107),"0 Star") &amp; " "</f>
        <v xml:space="preserve">Garbage 
Collection
 0 Star </v>
      </c>
    </row>
    <row r="8" spans="2:9" ht="30" x14ac:dyDescent="0.25">
      <c r="B8" s="144"/>
      <c r="C8" s="113" t="str">
        <f>"Septic Tank" &amp; CHAR(10) &amp; " " &amp; IF(Charts!P108&gt;0,REPT("★",Charts!P108),"0 Star") &amp; " "</f>
        <v xml:space="preserve">Septic Tank
 0 Star </v>
      </c>
      <c r="D8" s="113" t="str">
        <f>"Drainage" &amp; CHAR(10) &amp; " " &amp; IF(Charts!P109&gt;0,REPT("★",Charts!P109),"0 Star") &amp; " "</f>
        <v xml:space="preserve">Drainage
 0 Star </v>
      </c>
      <c r="E8" s="113" t="str">
        <f>"System for Flood" &amp; CHAR(10) &amp; " " &amp; IF(Charts!P110&gt;0,REPT("★",Charts!P110),"0 Star") &amp; " "</f>
        <v xml:space="preserve">System for Flood
 ★★ </v>
      </c>
      <c r="F8" s="113" t="str">
        <f>"Food Handlers" &amp; CHAR(10) &amp; " " &amp; IF(Charts!P111&gt;0,REPT("★",Charts!P111),"0 Star") &amp; " "</f>
        <v xml:space="preserve">Food Handlers
 0 Star </v>
      </c>
    </row>
    <row r="9" spans="2:9" ht="45" x14ac:dyDescent="0.25">
      <c r="B9" s="143" t="s">
        <v>89</v>
      </c>
      <c r="C9" s="113" t="str">
        <f>"Group Hand-washing Activity" &amp; CHAR(10) &amp; " " &amp; IF(Charts!P114&gt;0,REPT("★",Charts!P114),"0 Star") &amp; " "</f>
        <v xml:space="preserve">Group Hand-washing Activity
 ★★★★★ </v>
      </c>
      <c r="D9" s="113" t="str">
        <f>"Available Soap" &amp; CHAR(10) &amp; CHAR(10) &amp; " " &amp; IF(Charts!P115&gt;0,REPT("★",Charts!P115),"0 Star") &amp; " "</f>
        <v xml:space="preserve">Available Soap
 0 Star </v>
      </c>
      <c r="E9" s="113" t="str">
        <f>"Group Hand-washing Facility" &amp; CHAR(10) &amp; " " &amp; IF(Charts!P116&gt;0,REPT("★",Charts!P116),"0 Star") &amp; " "</f>
        <v xml:space="preserve">Group Hand-washing Facility
 ★★★★★ </v>
      </c>
      <c r="F9" s="113" t="str">
        <f>"Individual Hand-washing Facility" &amp; CHAR(10) &amp; " " &amp; IF(Charts!P117&gt;0,REPT("★",Charts!P117),"0 Star") &amp; " "</f>
        <v xml:space="preserve">Individual Hand-washing Facility
 ★★ </v>
      </c>
    </row>
    <row r="10" spans="2:9" ht="45" x14ac:dyDescent="0.25">
      <c r="B10" s="144"/>
      <c r="C10" s="113" t="str">
        <f>"Individual Hand-washing Practice" &amp; CHAR(10) &amp; " " &amp; IF(Charts!P118&gt;0,REPT("★",Charts!P118),"0 Star") &amp; " "</f>
        <v xml:space="preserve">Individual Hand-washing Practice
 ★★ </v>
      </c>
      <c r="D10" s="113" t="str">
        <f>"Group Tooth-brushing Activity" &amp; CHAR(10) &amp; " " &amp; IF(Charts!P119&gt;0,REPT("★",Charts!P119),"0 Star") &amp; " "</f>
        <v xml:space="preserve">Group Tooth-brushing Activity
 0 Star </v>
      </c>
      <c r="E10" s="113" t="str">
        <f>"Available Tooth-brush &amp; paste" &amp; CHAR(10) &amp; " " &amp; IF(Charts!P120&gt;0,REPT("★",Charts!P120),"0 Star") &amp; " "</f>
        <v xml:space="preserve">Available Tooth-brush &amp; paste
 0 Star </v>
      </c>
    </row>
    <row r="11" spans="2:9" ht="45" x14ac:dyDescent="0.25">
      <c r="B11" s="144"/>
      <c r="C11" s="113" t="str">
        <f>"WinS in SIP/AIP" &amp; CHAR(10) &amp; CHAR(10) &amp; " " &amp; IF(Charts!P121&gt;0,REPT("★",Charts!P121),"0 Star") &amp; " "</f>
        <v xml:space="preserve">WinS in SIP/AIP
 0 Star </v>
      </c>
      <c r="D11" s="113" t="str">
        <f>"Funding of " &amp; CHAR(10) &amp; "Supplies" &amp; CHAR(10) &amp; " " &amp; IF(Charts!P122&gt;0,REPT("★",Charts!P122),"0 Star") &amp; " "</f>
        <v xml:space="preserve">Funding of 
Supplies
 0 Star </v>
      </c>
      <c r="E11" s="113" t="str">
        <f>"Sanitary Pads" &amp; CHAR(10) &amp; CHAR(10) &amp; " " &amp; IF(Charts!P123&gt;0,REPT("★",Charts!P123),"0 Star") &amp; " "</f>
        <v xml:space="preserve">Sanitary Pads
 0 Star </v>
      </c>
    </row>
    <row r="12" spans="2:9" ht="45" customHeight="1" x14ac:dyDescent="0.25">
      <c r="B12" s="145"/>
      <c r="C12" s="113" t="str">
        <f>"Disposal of Sanitary Pads" &amp; CHAR(10) &amp; " " &amp; IF(Charts!P124&gt;0,REPT("★",Charts!P124),"0 Star") &amp; " "</f>
        <v xml:space="preserve">Disposal of Sanitary Pads
 ★ </v>
      </c>
      <c r="D12" s="113" t="str">
        <f>"IEC Materials for MHM" &amp; CHAR(10) &amp; " " &amp; IF(Charts!P125&gt;0,REPT("★",Charts!P125),"0 Star") &amp; " "</f>
        <v xml:space="preserve">IEC Materials for MHM
 ★ </v>
      </c>
      <c r="E12" s="113" t="str">
        <f>"Rest Space for MHM" &amp; CHAR(10) &amp; " " &amp; IF(Charts!P126&gt;0,REPT("★",Charts!P126),"0 Star") &amp; " "</f>
        <v xml:space="preserve">Rest Space for MHM
 ★★ </v>
      </c>
      <c r="F12" s="114"/>
    </row>
    <row r="13" spans="2:9" ht="45" customHeight="1" x14ac:dyDescent="0.25">
      <c r="B13" s="115" t="s">
        <v>91</v>
      </c>
      <c r="C13" s="113" t="str">
        <f>"Semi-annual Deworming" &amp; CHAR(10) &amp; " " &amp; IF(Charts!P129&gt;0,REPT("★",Charts!P129),"0 Star") &amp; " "</f>
        <v xml:space="preserve">Semi-annual Deworming
 0 Star </v>
      </c>
      <c r="D13" s="113" t="str">
        <f>"Pupils " &amp; CHAR(10) &amp; "Dewormed" &amp; CHAR(10) &amp; " " &amp; IF(Charts!P130&gt;0,REPT("★",Charts!P130),"0 Star") &amp; " "</f>
        <v xml:space="preserve">Pupils 
Dewormed
 0 Star </v>
      </c>
      <c r="E13" s="114"/>
      <c r="F13" s="114"/>
    </row>
    <row r="14" spans="2:9" ht="30" x14ac:dyDescent="0.25">
      <c r="B14" s="143" t="s">
        <v>92</v>
      </c>
      <c r="C14" s="113" t="str">
        <f>"IEC Materials" &amp; CHAR(10) &amp; " " &amp; IF(Charts!P136&gt;0,REPT("★",Charts!P136),"0 Star") &amp; " "</f>
        <v xml:space="preserve">IEC Materials
 0 Star </v>
      </c>
      <c r="D14" s="113" t="str">
        <f>"Organized Teams" &amp; CHAR(10) &amp; " " &amp; IF(Charts!P137&gt;0,REPT("★",Charts!P137),"0 Star") &amp; " "</f>
        <v xml:space="preserve">Organized Teams
 0 Star </v>
      </c>
      <c r="E14" s="113" t="str">
        <f>"INSET" &amp; CHAR(10) &amp; " " &amp; IF(Charts!P138&gt;0,REPT("★",Charts!P138),"0 Star") &amp; " "</f>
        <v xml:space="preserve">INSET
 ★ </v>
      </c>
    </row>
    <row r="15" spans="2:9" ht="45" x14ac:dyDescent="0.25">
      <c r="B15" s="145"/>
      <c r="C15" s="113" t="str">
        <f>"Learning " &amp; CHAR(10) &amp; "Materials" &amp; CHAR(10) &amp; " " &amp; IF(Charts!P139&gt;0,REPT("★",Charts!P139),"0 Star") &amp; " "</f>
        <v xml:space="preserve">Learning 
Materials
 ★★ </v>
      </c>
      <c r="D15" s="113" t="str">
        <f>"Advocacy for Parents" &amp; CHAR(10) &amp; " " &amp; IF(Charts!P140&gt;0,REPT("★",Charts!P140),"0 Star") &amp; " "</f>
        <v xml:space="preserve">Advocacy for Parents
 ★ </v>
      </c>
      <c r="E15" s="113" t="str">
        <f>"Extra Curricular Activities" &amp; CHAR(10) &amp; " " &amp; IF(Charts!P141&gt;0,REPT("★",Charts!P141),"0 Star") &amp; " "</f>
        <v xml:space="preserve">Extra Curricular Activities
 ★ </v>
      </c>
      <c r="F15" s="114"/>
    </row>
    <row r="17" spans="2:3" x14ac:dyDescent="0.25">
      <c r="B17" s="118" t="s">
        <v>403</v>
      </c>
    </row>
    <row r="18" spans="2:3" x14ac:dyDescent="0.25">
      <c r="B18" s="116" t="s">
        <v>404</v>
      </c>
      <c r="C18" s="116" t="s">
        <v>401</v>
      </c>
    </row>
    <row r="19" spans="2:3" x14ac:dyDescent="0.25">
      <c r="B19" s="116" t="s">
        <v>402</v>
      </c>
      <c r="C19" s="117" t="s">
        <v>400</v>
      </c>
    </row>
  </sheetData>
  <sheetProtection sheet="1" objects="1" scenarios="1"/>
  <mergeCells count="3">
    <mergeCell ref="B5:B8"/>
    <mergeCell ref="B9:B12"/>
    <mergeCell ref="B14:B15"/>
  </mergeCells>
  <conditionalFormatting sqref="C5:F15 C4:E4">
    <cfRule type="expression" dxfId="40" priority="1">
      <formula>RIGHT(C4,7)=" ★★★★★ "</formula>
    </cfRule>
    <cfRule type="expression" dxfId="39" priority="6">
      <formula>RIGHT(C4,8)=" 0 Star "</formula>
    </cfRule>
    <cfRule type="expression" dxfId="38" priority="7">
      <formula>RIGHT(C4,5)=" ★★★ "</formula>
    </cfRule>
    <cfRule type="expression" dxfId="37" priority="8">
      <formula>RIGHT(C4,3)=" ★ "</formula>
    </cfRule>
    <cfRule type="expression" dxfId="36" priority="9">
      <formula>RIGHT(C4,4)=" ★★ "</formula>
    </cfRule>
  </conditionalFormatting>
  <conditionalFormatting sqref="C4:E12">
    <cfRule type="expression" dxfId="35" priority="5">
      <formula>$I$2="Yes"</formula>
    </cfRule>
  </conditionalFormatting>
  <conditionalFormatting sqref="F5:F9">
    <cfRule type="expression" dxfId="34" priority="4">
      <formula>$I$2="Yes"</formula>
    </cfRule>
  </conditionalFormatting>
  <conditionalFormatting sqref="C13:D15">
    <cfRule type="expression" dxfId="33" priority="3">
      <formula>$I$2="Yes"</formula>
    </cfRule>
  </conditionalFormatting>
  <conditionalFormatting sqref="E14:E15">
    <cfRule type="expression" dxfId="32" priority="2">
      <formula>$I$2="Yes"</formula>
    </cfRule>
  </conditionalFormatting>
  <dataValidations disablePrompts="1" count="1">
    <dataValidation type="list" allowBlank="1" showInputMessage="1" showErrorMessage="1" sqref="I2">
      <formula1>"Yes,No"</formula1>
    </dataValidation>
  </dataValidations>
  <hyperlinks>
    <hyperlink ref="C4" location="'3Stars'!I9" display="'3Stars'!I9"/>
    <hyperlink ref="E4" location="'3Stars'!I11" display="'3Stars'!I11"/>
    <hyperlink ref="D4" location="'3Stars'!I10" display="'3Stars'!I10"/>
    <hyperlink ref="C5" location="'3Stars'!I12" display="'3Stars'!I12"/>
    <hyperlink ref="D5" location="'3Stars'!I13" display="'3Stars'!I13"/>
    <hyperlink ref="E5" location="'3Stars'!I14" display="'3Stars'!I14"/>
    <hyperlink ref="F5" location="'3Stars'!I15" display="'3Stars'!I15"/>
    <hyperlink ref="C6" location="'3Stars'!I16" display="'3Stars'!I16"/>
    <hyperlink ref="D6" location="'3Stars'!I17" display="'3Stars'!I17"/>
    <hyperlink ref="E6" location="'3Stars'!I18" display="'3Stars'!I18"/>
    <hyperlink ref="F6" location="'3Stars'!I19" display="'3Stars'!I19"/>
    <hyperlink ref="C7" location="'3Stars'!I20" display="'3Stars'!I20"/>
    <hyperlink ref="D7" location="'3Stars'!I21" display="'3Stars'!I21"/>
    <hyperlink ref="E7" location="'3Stars'!I22" display="'3Stars'!I22"/>
    <hyperlink ref="F7" location="'3Stars'!I23" display="'3Stars'!I23"/>
    <hyperlink ref="C8" location="'3Stars'!I24" display="'3Stars'!I24"/>
    <hyperlink ref="D8" location="'3Stars'!I25" display="'3Stars'!I25"/>
    <hyperlink ref="E8" location="'3Stars'!I26" display="'3Stars'!I26"/>
    <hyperlink ref="F8" location="'3Stars'!I27" display="'3Stars'!I27"/>
    <hyperlink ref="D9" location="'3Stars'!I29" display="'3Stars'!I29"/>
    <hyperlink ref="E9" location="'3Stars'!I30" display="'3Stars'!I30"/>
    <hyperlink ref="F9" location="'3Stars'!I31" display="'3Stars'!I31"/>
    <hyperlink ref="C10" location="'3Stars'!I32" display="'3Stars'!I32"/>
    <hyperlink ref="D10" location="'3Stars'!I33" display="'3Stars'!I33"/>
    <hyperlink ref="E10" location="'3Stars'!I34" display="'3Stars'!I34"/>
    <hyperlink ref="C11" location="'3Stars'!I35" display="'3Stars'!I35"/>
    <hyperlink ref="D11" location="'3Stars'!I36" display="'3Stars'!I36"/>
    <hyperlink ref="E11" location="'3Stars'!I37" display="'3Stars'!I37"/>
    <hyperlink ref="C12" location="'3Stars'!I38" display="'3Stars'!I38"/>
    <hyperlink ref="D12" location="'3Stars'!I39" display="'3Stars'!I39"/>
    <hyperlink ref="E12" location="'3Stars'!I40" display="'3Stars'!I40"/>
    <hyperlink ref="C13" location="'3Stars'!I41" display="'3Stars'!I41"/>
    <hyperlink ref="D13" location="'3Stars'!I42" display="'3Stars'!I42"/>
    <hyperlink ref="C14" location="'3Stars'!I43" display="'3Stars'!I43"/>
    <hyperlink ref="D14" location="'3Stars'!I44" display="'3Stars'!I44"/>
    <hyperlink ref="E14" location="'3Stars'!I45" display="'3Stars'!I45"/>
    <hyperlink ref="C15" location="'3Stars'!I46" display="'3Stars'!I46"/>
    <hyperlink ref="D15" location="'3Stars'!I47" display="'3Stars'!I47"/>
    <hyperlink ref="E15" location="'3Stars'!I48" display="'3Stars'!I48"/>
    <hyperlink ref="C9" location="'3Stars'!I28" display="'3Stars'!I28"/>
  </hyperlinks>
  <printOptions horizontalCentere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48"/>
  <sheetViews>
    <sheetView showGridLines="0" zoomScaleNormal="100" workbookViewId="0"/>
  </sheetViews>
  <sheetFormatPr defaultRowHeight="15" x14ac:dyDescent="0.25"/>
  <cols>
    <col min="1" max="1" width="10.28515625" style="18" customWidth="1"/>
    <col min="2" max="2" width="2.5703125" style="100" customWidth="1"/>
    <col min="3" max="3" width="39.28515625" style="18" customWidth="1"/>
    <col min="4" max="4" width="2.5703125" style="98" customWidth="1"/>
    <col min="5" max="5" width="39.28515625" style="18" customWidth="1"/>
    <col min="6" max="6" width="2.5703125" style="98" bestFit="1" customWidth="1"/>
    <col min="7" max="7" width="39.28515625" style="18" customWidth="1"/>
    <col min="8" max="8" width="5.7109375" style="59" hidden="1" customWidth="1"/>
    <col min="9" max="9" width="6.28515625" style="17" customWidth="1"/>
    <col min="10" max="16384" width="9.140625" style="18"/>
  </cols>
  <sheetData>
    <row r="1" spans="1:9" x14ac:dyDescent="0.25">
      <c r="A1" s="34" t="s">
        <v>105</v>
      </c>
      <c r="B1" s="99"/>
      <c r="C1" s="35"/>
      <c r="D1" s="97"/>
      <c r="E1" s="35"/>
      <c r="F1" s="97"/>
      <c r="G1" s="35"/>
      <c r="H1" s="58"/>
      <c r="I1" s="34"/>
    </row>
    <row r="2" spans="1:9" x14ac:dyDescent="0.25">
      <c r="A2" s="34" t="s">
        <v>382</v>
      </c>
      <c r="B2" s="99"/>
      <c r="C2" s="35"/>
      <c r="D2" s="97"/>
      <c r="E2" s="35"/>
      <c r="F2" s="97"/>
      <c r="G2" s="35"/>
      <c r="H2" s="58"/>
      <c r="I2" s="34"/>
    </row>
    <row r="3" spans="1:9" x14ac:dyDescent="0.25">
      <c r="A3" s="17"/>
    </row>
    <row r="4" spans="1:9" x14ac:dyDescent="0.25">
      <c r="A4" s="19" t="s">
        <v>102</v>
      </c>
      <c r="B4" s="33">
        <f>Entry!D14</f>
        <v>0</v>
      </c>
      <c r="E4" s="20"/>
      <c r="G4" s="21" t="s">
        <v>106</v>
      </c>
      <c r="H4" s="60"/>
      <c r="I4" s="107" t="str">
        <f>IF(AND(H9,H12,H28,H30,H37),IF(I5&gt;=2.75,"★★★",IF(AND(I5&gt;=1.75,I5&lt;2.75),"★★",IF(AND(I5&gt;=0.75,I5&lt;1.75),"★","0 Star"))),"0 Star")</f>
        <v>0 Star</v>
      </c>
    </row>
    <row r="5" spans="1:9" x14ac:dyDescent="0.25">
      <c r="A5" s="19" t="s">
        <v>103</v>
      </c>
      <c r="B5" s="33" t="str">
        <f>IF(Entry!D13="","",Entry!D13)</f>
        <v/>
      </c>
      <c r="E5" s="20"/>
      <c r="I5" s="126">
        <f>IF(AND(H9,H12,H28,H30,H37),ROUND(AVERAGE(I9:I48),2),0)</f>
        <v>0</v>
      </c>
    </row>
    <row r="6" spans="1:9" x14ac:dyDescent="0.25">
      <c r="A6" s="19" t="s">
        <v>104</v>
      </c>
      <c r="B6" s="33">
        <f>Entry!D10</f>
        <v>0</v>
      </c>
      <c r="E6" s="20"/>
    </row>
    <row r="7" spans="1:9" x14ac:dyDescent="0.25">
      <c r="E7" s="20"/>
    </row>
    <row r="8" spans="1:9" x14ac:dyDescent="0.25">
      <c r="A8" s="22" t="s">
        <v>84</v>
      </c>
      <c r="B8" s="23" t="s">
        <v>85</v>
      </c>
      <c r="C8" s="24"/>
      <c r="D8" s="23" t="s">
        <v>86</v>
      </c>
      <c r="E8" s="24"/>
      <c r="F8" s="23" t="s">
        <v>87</v>
      </c>
      <c r="G8" s="24"/>
      <c r="H8" s="61"/>
      <c r="I8" s="25" t="s">
        <v>94</v>
      </c>
    </row>
    <row r="9" spans="1:9" ht="45" customHeight="1" x14ac:dyDescent="0.25">
      <c r="A9" s="26" t="s">
        <v>90</v>
      </c>
      <c r="B9" s="101" t="str">
        <f>IF(AND(OR(Entry!D27="No drinking water in the school",Entry!D27=""),Entry!D30="Check"),"✓","")</f>
        <v/>
      </c>
      <c r="C9" s="54" t="s">
        <v>419</v>
      </c>
      <c r="D9" s="101" t="str">
        <f>IF(OR(Entry!D27="Yes, but supply is not regular",AND(Entry!D27="All the time", Entry!D28&lt;&gt;"Yes")),"✓","")</f>
        <v/>
      </c>
      <c r="E9" s="55" t="s">
        <v>420</v>
      </c>
      <c r="F9" s="101" t="str">
        <f>IF(AND(Entry!D27="All the time",Entry!D28="Yes"),"✓","")</f>
        <v/>
      </c>
      <c r="G9" s="54" t="s">
        <v>421</v>
      </c>
      <c r="H9" s="67">
        <f t="shared" ref="H9:H12" si="0">IF(F9&lt;&gt;"",3,IF(OR(E9="",D9&lt;&gt;""),2,IF(OR(C9="",B9&lt;&gt;""),1,0)))</f>
        <v>0</v>
      </c>
      <c r="I9" s="108">
        <f t="shared" ref="I9" si="1">IF(F9&lt;&gt;"",3,IF(OR(E9="",D9&lt;&gt;""),2,IF(OR(C9="",B9&lt;&gt;""),1,0)))</f>
        <v>0</v>
      </c>
    </row>
    <row r="10" spans="1:9" ht="45" customHeight="1" x14ac:dyDescent="0.25">
      <c r="A10" s="29"/>
      <c r="B10" s="102" t="str">
        <f>IF(AND(Entry!D36="Yes",Entry!D37=0),"✓","")</f>
        <v/>
      </c>
      <c r="C10" s="28" t="s">
        <v>422</v>
      </c>
      <c r="D10" s="102" t="str">
        <f>IF(Entry!D37=1,"✓","")</f>
        <v/>
      </c>
      <c r="E10" s="28" t="s">
        <v>423</v>
      </c>
      <c r="F10" s="102" t="str">
        <f>IF(Entry!D37&gt;1,"✓","")</f>
        <v/>
      </c>
      <c r="G10" s="27" t="s">
        <v>424</v>
      </c>
      <c r="H10" s="15">
        <f>IF(F10&lt;&gt;"",3,IF(OR(E10="",D10&lt;&gt;""),2,IF(OR(C10="",B10&lt;&gt;""),1,0)))</f>
        <v>0</v>
      </c>
      <c r="I10" s="109">
        <f>IF(F10&lt;&gt;"",3,IF(OR(E10="",D10&lt;&gt;""),2,IF(OR(C10="",B10&lt;&gt;""),1,0)))</f>
        <v>0</v>
      </c>
    </row>
    <row r="11" spans="1:9" ht="45" x14ac:dyDescent="0.25">
      <c r="A11" s="29"/>
      <c r="B11" s="102" t="str">
        <f>IF(Entry!D35="Available only on certain days of the week","✓","")</f>
        <v/>
      </c>
      <c r="C11" s="28" t="s">
        <v>425</v>
      </c>
      <c r="D11" s="102" t="str">
        <f>IF(Entry!D35="Available daily but only in certain hours","✓","")</f>
        <v/>
      </c>
      <c r="E11" s="28" t="s">
        <v>426</v>
      </c>
      <c r="F11" s="102" t="str">
        <f>IF(Entry!D35="Available daily for 24 hours","✓","")</f>
        <v/>
      </c>
      <c r="G11" s="27" t="s">
        <v>427</v>
      </c>
      <c r="H11" s="15">
        <f>IF(F11&lt;&gt;"",3,IF(OR(E11="",D11&lt;&gt;""),2,IF(OR(C11="",B11&lt;&gt;""),1,0)))</f>
        <v>0</v>
      </c>
      <c r="I11" s="109">
        <f>IF(F11&lt;&gt;"",3,IF(OR(E11="",D11&lt;&gt;""),2,IF(OR(C11="",B11&lt;&gt;""),1,0)))</f>
        <v>0</v>
      </c>
    </row>
    <row r="12" spans="1:9" ht="60.75" customHeight="1" x14ac:dyDescent="0.25">
      <c r="A12" s="30" t="s">
        <v>88</v>
      </c>
      <c r="B12" s="102" t="str">
        <f>IF(AND(Entry!D43&gt;0,Entry!E43&gt;0),IF(SUM(Entry!D20:E22)/SUM(Entry!D43:F43)&gt;100,"✓",""),"")</f>
        <v/>
      </c>
      <c r="C12" s="85" t="s">
        <v>428</v>
      </c>
      <c r="D12" s="102" t="str">
        <f>IF(AND(Entry!D43&gt;0,Entry!E43&gt;0),IF(OR(AND(SUM(Entry!D20:E22)/SUM(Entry!D43:F43)&gt;50,SUM(Entry!D20:E22)/SUM(Entry!D43:F43)&lt;=100),AND(SUM(Entry!D20:E22)/SUM(Entry!D43:F43)&lt;=50,F12="")),"✓",""),"")</f>
        <v/>
      </c>
      <c r="E12" s="28" t="s">
        <v>429</v>
      </c>
      <c r="F12" s="102" t="str">
        <f>IF(AND(Entry!D43&gt;0,Entry!E43&gt;0),IF(AND(SUM(Entry!D20:D22)/SUM(Entry!D43:D43)&lt;=50,SUM(Entry!E20:E22)/SUM(Entry!E43:E43)&lt;=50),"✓",""),"")</f>
        <v/>
      </c>
      <c r="G12" s="27" t="s">
        <v>430</v>
      </c>
      <c r="H12" s="86">
        <f t="shared" si="0"/>
        <v>0</v>
      </c>
      <c r="I12" s="109">
        <f t="shared" ref="I12" si="2">IF(F12&lt;&gt;"",3,IF(OR(E12="",D12&lt;&gt;""),2,IF(OR(C12="",B12&lt;&gt;""),1,0)))</f>
        <v>0</v>
      </c>
    </row>
    <row r="13" spans="1:9" ht="45" customHeight="1" x14ac:dyDescent="0.25">
      <c r="A13" s="31"/>
      <c r="B13" s="120" t="str">
        <f>IF(AND(Entry!D46="Yes",Entry!D47="Yes",Entry!D48="Yes",Entry!D49="Yes"),"✓","")</f>
        <v/>
      </c>
      <c r="C13" s="54" t="s">
        <v>431</v>
      </c>
      <c r="D13" s="120" t="str">
        <f>IF(Entry!D46="Yes","✓","")</f>
        <v/>
      </c>
      <c r="E13" s="55" t="s">
        <v>432</v>
      </c>
      <c r="F13" s="103" t="str">
        <f>IF(AND(Entry!D46="Yes",Entry!D47="Yes",Entry!D48="Yes",Entry!D49="Yes"),"✓","")</f>
        <v/>
      </c>
      <c r="G13" s="54" t="s">
        <v>433</v>
      </c>
      <c r="H13" s="67">
        <f t="shared" ref="H13:H19" si="3">IF(F13&lt;&gt;"",3,IF(OR(E13="",D13&lt;&gt;""),2,IF(OR(C13="",B13&lt;&gt;""),1,0)))</f>
        <v>0</v>
      </c>
      <c r="I13" s="108">
        <f>MIN(H13:H17)</f>
        <v>0</v>
      </c>
    </row>
    <row r="14" spans="1:9" ht="30" x14ac:dyDescent="0.25">
      <c r="A14" s="31"/>
      <c r="B14" s="103"/>
      <c r="C14" s="66"/>
      <c r="D14" s="120" t="str">
        <f>IF(Entry!D101="Check","✓","")</f>
        <v/>
      </c>
      <c r="E14" s="55" t="s">
        <v>434</v>
      </c>
      <c r="F14" s="103" t="str">
        <f>IF(Entry!D101="Check","✓","")</f>
        <v/>
      </c>
      <c r="G14" s="54" t="s">
        <v>435</v>
      </c>
      <c r="H14" s="67">
        <f t="shared" si="3"/>
        <v>1</v>
      </c>
      <c r="I14" s="108"/>
    </row>
    <row r="15" spans="1:9" ht="30" x14ac:dyDescent="0.25">
      <c r="A15" s="31"/>
      <c r="B15" s="103"/>
      <c r="C15" s="66"/>
      <c r="D15" s="103" t="str">
        <f>IF(AND(Entry!E43&lt;&gt;1,Entry!D50=1),"✓","")</f>
        <v/>
      </c>
      <c r="E15" s="55" t="s">
        <v>436</v>
      </c>
      <c r="F15" s="103" t="str">
        <f>IF(OR(Entry!D50&gt;1,AND(Entry!E43=1,Entry!D50=1)),"✓","")</f>
        <v/>
      </c>
      <c r="G15" s="54" t="s">
        <v>437</v>
      </c>
      <c r="H15" s="67">
        <f t="shared" si="3"/>
        <v>1</v>
      </c>
      <c r="I15" s="108"/>
    </row>
    <row r="16" spans="1:9" ht="30" customHeight="1" x14ac:dyDescent="0.25">
      <c r="A16" s="31"/>
      <c r="B16" s="103"/>
      <c r="C16" s="66"/>
      <c r="D16" s="120" t="str">
        <f>IF(Entry!D51="Yes","✓","")</f>
        <v/>
      </c>
      <c r="E16" s="55" t="s">
        <v>438</v>
      </c>
      <c r="F16" s="103" t="str">
        <f>IF(Entry!D51="Yes","✓","")</f>
        <v/>
      </c>
      <c r="G16" s="54" t="s">
        <v>439</v>
      </c>
      <c r="H16" s="67">
        <f t="shared" si="3"/>
        <v>1</v>
      </c>
      <c r="I16" s="108"/>
    </row>
    <row r="17" spans="1:9" ht="30" x14ac:dyDescent="0.25">
      <c r="A17" s="31"/>
      <c r="B17" s="104"/>
      <c r="C17" s="68"/>
      <c r="D17" s="104"/>
      <c r="E17" s="69"/>
      <c r="F17" s="104" t="str">
        <f>IF(Entry!D52="Yes","✓","")</f>
        <v/>
      </c>
      <c r="G17" s="56" t="s">
        <v>440</v>
      </c>
      <c r="H17" s="70">
        <f t="shared" si="3"/>
        <v>2</v>
      </c>
      <c r="I17" s="110"/>
    </row>
    <row r="18" spans="1:9" ht="30" x14ac:dyDescent="0.25">
      <c r="A18" s="32"/>
      <c r="B18" s="121" t="str">
        <f>IF(Entry!D53="Daily","✓","")</f>
        <v/>
      </c>
      <c r="C18" s="27" t="s">
        <v>441</v>
      </c>
      <c r="D18" s="121" t="str">
        <f>IF(Entry!D53="Daily","✓","")</f>
        <v/>
      </c>
      <c r="E18" s="27" t="s">
        <v>442</v>
      </c>
      <c r="F18" s="102" t="str">
        <f>IF(Entry!D53="Daily","✓","")</f>
        <v/>
      </c>
      <c r="G18" s="27" t="s">
        <v>443</v>
      </c>
      <c r="H18" s="15">
        <f t="shared" si="3"/>
        <v>0</v>
      </c>
      <c r="I18" s="109">
        <f t="shared" ref="I18:I19" si="4">IF(F18&lt;&gt;"",3,IF(OR(E18="",D18&lt;&gt;""),2,IF(OR(C18="",B18&lt;&gt;""),1,0)))</f>
        <v>0</v>
      </c>
    </row>
    <row r="19" spans="1:9" ht="75" x14ac:dyDescent="0.25">
      <c r="A19" s="31"/>
      <c r="B19" s="121" t="str">
        <f>IF(Entry!D128="Check","✓","")</f>
        <v/>
      </c>
      <c r="C19" s="27" t="s">
        <v>444</v>
      </c>
      <c r="D19" s="121" t="str">
        <f>IF(Entry!D128="Check","✓","")</f>
        <v/>
      </c>
      <c r="E19" s="28" t="s">
        <v>445</v>
      </c>
      <c r="F19" s="102" t="str">
        <f>IF(Entry!D128="Check","✓","")</f>
        <v/>
      </c>
      <c r="G19" s="27" t="s">
        <v>446</v>
      </c>
      <c r="H19" s="15">
        <f t="shared" si="3"/>
        <v>0</v>
      </c>
      <c r="I19" s="109">
        <f t="shared" si="4"/>
        <v>0</v>
      </c>
    </row>
    <row r="20" spans="1:9" ht="15.75" x14ac:dyDescent="0.25">
      <c r="A20" s="31"/>
      <c r="B20" s="122" t="str">
        <f>IF(Entry!D54="No","✓","")</f>
        <v/>
      </c>
      <c r="C20" s="53" t="s">
        <v>447</v>
      </c>
      <c r="D20" s="122" t="str">
        <f>IF(Entry!D54="No","✓","")</f>
        <v/>
      </c>
      <c r="E20" s="53" t="s">
        <v>448</v>
      </c>
      <c r="F20" s="101" t="str">
        <f>IF(Entry!D54="No","✓","")</f>
        <v/>
      </c>
      <c r="G20" s="53" t="s">
        <v>449</v>
      </c>
      <c r="H20" s="62">
        <f t="shared" ref="H20:H23" si="5">IF(F20&lt;&gt;"",3,IF(OR(E20="",D20&lt;&gt;""),2,IF(OR(C20="",B20&lt;&gt;""),1,0)))</f>
        <v>0</v>
      </c>
      <c r="I20" s="111">
        <f>MIN(H20:H23)</f>
        <v>0</v>
      </c>
    </row>
    <row r="21" spans="1:9" ht="60" x14ac:dyDescent="0.25">
      <c r="A21" s="31"/>
      <c r="B21" s="103" t="str">
        <f>IF(AND(D21="",F21="",Entry!D56="Check"),"✓","")</f>
        <v/>
      </c>
      <c r="C21" s="54" t="s">
        <v>450</v>
      </c>
      <c r="D21" s="103" t="str">
        <f>IF(AND(F21="",COUNTA(Entry!D56:E57)=2),"✓","")</f>
        <v/>
      </c>
      <c r="E21" s="55" t="s">
        <v>451</v>
      </c>
      <c r="F21" s="103" t="str">
        <f>IF(COUNTA(Entry!D56:E64)=9,"✓","")</f>
        <v/>
      </c>
      <c r="G21" s="54" t="s">
        <v>452</v>
      </c>
      <c r="H21" s="63">
        <f t="shared" si="5"/>
        <v>0</v>
      </c>
      <c r="I21" s="108"/>
    </row>
    <row r="22" spans="1:9" ht="45.75" customHeight="1" x14ac:dyDescent="0.25">
      <c r="A22" s="31"/>
      <c r="B22" s="120" t="str">
        <f>IF(AND(Entry!D65="Yes",Entry!D66&lt;&gt;"Yes"),"✓","")</f>
        <v/>
      </c>
      <c r="C22" s="54" t="s">
        <v>453</v>
      </c>
      <c r="D22" s="103" t="str">
        <f>IF(AND(Entry!D65="Yes",Entry!D66&lt;&gt;"Yes"),"✓","")</f>
        <v/>
      </c>
      <c r="E22" s="55" t="s">
        <v>454</v>
      </c>
      <c r="F22" s="103" t="str">
        <f>IF(AND(Entry!D65="Yes",Entry!D66="Yes"),"✓","")</f>
        <v/>
      </c>
      <c r="G22" s="54" t="s">
        <v>455</v>
      </c>
      <c r="H22" s="63">
        <f t="shared" si="5"/>
        <v>0</v>
      </c>
      <c r="I22" s="108"/>
    </row>
    <row r="23" spans="1:9" ht="75" x14ac:dyDescent="0.25">
      <c r="A23" s="31"/>
      <c r="B23" s="104" t="str">
        <f>IF(AND(D23="",F23="",OR(Entry!D67="No collection",AND(Entry!D68="Yes",Entry!D69="Yes"))),"✓","")</f>
        <v/>
      </c>
      <c r="C23" s="56" t="s">
        <v>456</v>
      </c>
      <c r="D23" s="104" t="str">
        <f>IF(AND(F23="",OR(Entry!D67="Once a week",AND(Entry!D68="Yes",Entry!D69="Yes"))),"✓","")</f>
        <v/>
      </c>
      <c r="E23" s="57" t="s">
        <v>457</v>
      </c>
      <c r="F23" s="104" t="str">
        <f>IF(OR(OR(Entry!D67="Daily",Entry!D67="2-3 times a week"),AND(Entry!D68="Yes",Entry!D70="Yes")),"✓","")</f>
        <v/>
      </c>
      <c r="G23" s="56" t="s">
        <v>458</v>
      </c>
      <c r="H23" s="64">
        <f t="shared" si="5"/>
        <v>0</v>
      </c>
      <c r="I23" s="110"/>
    </row>
    <row r="24" spans="1:9" ht="30" x14ac:dyDescent="0.25">
      <c r="A24" s="31"/>
      <c r="B24" s="122" t="str">
        <f>IF(Entry!D71="All","✓","")</f>
        <v/>
      </c>
      <c r="C24" s="53" t="s">
        <v>459</v>
      </c>
      <c r="D24" s="122" t="str">
        <f>IF(Entry!D71="All","✓","")</f>
        <v/>
      </c>
      <c r="E24" s="53" t="s">
        <v>460</v>
      </c>
      <c r="F24" s="101" t="str">
        <f>IF(Entry!D71="All","✓","")</f>
        <v/>
      </c>
      <c r="G24" s="53" t="s">
        <v>461</v>
      </c>
      <c r="H24" s="62">
        <f t="shared" ref="H24:H27" si="6">IF(F24&lt;&gt;"",3,IF(OR(E24="",D24&lt;&gt;""),2,IF(OR(C24="",B24&lt;&gt;""),1,0)))</f>
        <v>0</v>
      </c>
      <c r="I24" s="111">
        <f>MIN(H24:H26)</f>
        <v>0</v>
      </c>
    </row>
    <row r="25" spans="1:9" ht="45" x14ac:dyDescent="0.25">
      <c r="A25" s="31"/>
      <c r="B25" s="120" t="str">
        <f>IF(Entry!D72="Yes","✓","")</f>
        <v/>
      </c>
      <c r="C25" s="54" t="s">
        <v>462</v>
      </c>
      <c r="D25" s="120" t="str">
        <f>IF(Entry!D72="Yes","✓","")</f>
        <v/>
      </c>
      <c r="E25" s="54" t="s">
        <v>463</v>
      </c>
      <c r="F25" s="103" t="str">
        <f>IF(Entry!D72="Yes","✓","")</f>
        <v/>
      </c>
      <c r="G25" s="54" t="s">
        <v>464</v>
      </c>
      <c r="H25" s="63">
        <f t="shared" si="6"/>
        <v>0</v>
      </c>
      <c r="I25" s="108"/>
    </row>
    <row r="26" spans="1:9" ht="60.75" customHeight="1" x14ac:dyDescent="0.25">
      <c r="A26" s="31"/>
      <c r="B26" s="103"/>
      <c r="C26" s="54"/>
      <c r="D26" s="103"/>
      <c r="E26" s="55"/>
      <c r="F26" s="103" t="str">
        <f>IF(AND(Entry!D73="Yes",COUNTA(Entry!D75:E78)&gt;0),"✓","")</f>
        <v/>
      </c>
      <c r="G26" s="54" t="s">
        <v>465</v>
      </c>
      <c r="H26" s="63">
        <f t="shared" si="6"/>
        <v>2</v>
      </c>
      <c r="I26" s="108"/>
    </row>
    <row r="27" spans="1:9" ht="45" x14ac:dyDescent="0.25">
      <c r="A27" s="32"/>
      <c r="B27" s="121" t="str">
        <f>IF(AND(D27="",F27="",Entry!D85="All"),"✓","")</f>
        <v/>
      </c>
      <c r="C27" s="27" t="s">
        <v>466</v>
      </c>
      <c r="D27" s="121" t="str">
        <f>IF(AND(F27="",Entry!D85="All",Entry!D86="All"),"✓","")</f>
        <v/>
      </c>
      <c r="E27" s="28" t="s">
        <v>467</v>
      </c>
      <c r="F27" s="102" t="str">
        <f>IF(AND(Entry!D85="All",Entry!D86="All", OR(Entry!D79&lt;&gt;"Yes",AND(Entry!D79="Yes",Entry!D80="Yes"))),"✓","")</f>
        <v/>
      </c>
      <c r="G27" s="27" t="s">
        <v>468</v>
      </c>
      <c r="H27" s="15">
        <f t="shared" si="6"/>
        <v>0</v>
      </c>
      <c r="I27" s="109">
        <f t="shared" ref="I27" si="7">IF(F27&lt;&gt;"",3,IF(OR(E27="",D27&lt;&gt;""),2,IF(OR(C27="",B27&lt;&gt;""),1,0)))</f>
        <v>0</v>
      </c>
    </row>
    <row r="28" spans="1:9" ht="44.25" customHeight="1" x14ac:dyDescent="0.25">
      <c r="A28" s="30" t="s">
        <v>89</v>
      </c>
      <c r="B28" s="101" t="str">
        <f>IF(AND(Entry!D91&gt;=5,AND(Entry!D93="Check",Entry!D94="", Entry!D95="")),"✓","")</f>
        <v/>
      </c>
      <c r="C28" s="53" t="s">
        <v>469</v>
      </c>
      <c r="D28" s="101" t="str">
        <f>IF(AND(Entry!D91&gt;=5,AND(Entry!D94="Check", Entry!D95="")),"✓","")</f>
        <v/>
      </c>
      <c r="E28" s="105" t="s">
        <v>470</v>
      </c>
      <c r="F28" s="101" t="str">
        <f>IF(AND(Entry!D91&gt;=5,Entry!D95="Check"),"✓","")</f>
        <v/>
      </c>
      <c r="G28" s="53" t="s">
        <v>471</v>
      </c>
      <c r="H28" s="65">
        <f>IF(Entry!D12="Elementary",IF(F28&lt;&gt;"",3,IF(OR(E28="",D28&lt;&gt;""),2,IF(OR(C28="",B28&lt;&gt;""),1,0))),5)</f>
        <v>5</v>
      </c>
      <c r="I28" s="111">
        <f>MIN(H28:H32)</f>
        <v>0</v>
      </c>
    </row>
    <row r="29" spans="1:9" ht="15" customHeight="1" x14ac:dyDescent="0.25">
      <c r="A29" s="31"/>
      <c r="B29" s="120" t="str">
        <f>IF(Entry!D98="Yes","✓","")</f>
        <v/>
      </c>
      <c r="C29" s="54" t="s">
        <v>472</v>
      </c>
      <c r="D29" s="120" t="str">
        <f>IF(Entry!D98="Yes","✓","")</f>
        <v/>
      </c>
      <c r="E29" s="54" t="s">
        <v>473</v>
      </c>
      <c r="F29" s="103" t="str">
        <f>IF(Entry!D98="Yes","✓","")</f>
        <v/>
      </c>
      <c r="G29" s="54" t="s">
        <v>474</v>
      </c>
      <c r="H29" s="63">
        <f t="shared" ref="H29:H32" si="8">IF(F29&lt;&gt;"",3,IF(OR(E29="",D29&lt;&gt;""),2,IF(OR(C29="",B29&lt;&gt;""),1,0)))</f>
        <v>0</v>
      </c>
      <c r="I29" s="108"/>
    </row>
    <row r="30" spans="1:9" ht="30.75" customHeight="1" x14ac:dyDescent="0.25">
      <c r="A30" s="31"/>
      <c r="B30" s="103" t="str">
        <f>IF(AND(D30="",F30="",Entry!D96&gt;=1),"✓","")</f>
        <v/>
      </c>
      <c r="C30" s="54" t="s">
        <v>475</v>
      </c>
      <c r="D30" s="103" t="str">
        <f>IF(Entry!D96&gt;0,IF(AND(F30="",Entry!F20/Entry!D96&lt;=200),"✓",""),"")</f>
        <v/>
      </c>
      <c r="E30" s="55" t="s">
        <v>476</v>
      </c>
      <c r="F30" s="103" t="str">
        <f>IF(Entry!D96&gt;0,IF(Entry!F20/Entry!D96&lt;=100,"✓",""),"")</f>
        <v/>
      </c>
      <c r="G30" s="54" t="s">
        <v>477</v>
      </c>
      <c r="H30" s="67">
        <f>IF(Entry!D12="Elementary",IF(F30&lt;&gt;"",3,IF(OR(E30="",D30&lt;&gt;""),2,IF(OR(C30="",B30&lt;&gt;""),1,0))),5)</f>
        <v>5</v>
      </c>
      <c r="I30" s="108"/>
    </row>
    <row r="31" spans="1:9" ht="45.75" customHeight="1" x14ac:dyDescent="0.25">
      <c r="A31" s="31"/>
      <c r="B31" s="103"/>
      <c r="C31" s="54"/>
      <c r="D31" s="103"/>
      <c r="E31" s="55"/>
      <c r="F31" s="103" t="str">
        <f>IF(AND(Entry!D101="Check",Entry!D102="Check",Entry!D103="Check"),"✓","")</f>
        <v/>
      </c>
      <c r="G31" s="54" t="s">
        <v>478</v>
      </c>
      <c r="H31" s="63">
        <f t="shared" si="8"/>
        <v>2</v>
      </c>
      <c r="I31" s="108"/>
    </row>
    <row r="32" spans="1:9" ht="31.5" customHeight="1" x14ac:dyDescent="0.25">
      <c r="A32" s="31"/>
      <c r="B32" s="104"/>
      <c r="C32" s="56"/>
      <c r="D32" s="104"/>
      <c r="E32" s="57"/>
      <c r="F32" s="104" t="str">
        <f>IF(AND(Entry!D108="Check",Entry!D109="Check"),"✓","")</f>
        <v/>
      </c>
      <c r="G32" s="56" t="s">
        <v>479</v>
      </c>
      <c r="H32" s="64">
        <f t="shared" si="8"/>
        <v>2</v>
      </c>
      <c r="I32" s="110"/>
    </row>
    <row r="33" spans="1:9" ht="45" customHeight="1" x14ac:dyDescent="0.25">
      <c r="A33" s="31"/>
      <c r="B33" s="101" t="str">
        <f>IF(AND(Entry!D113&gt;=5,AND(Entry!D115="Check",Entry!D116="",Entry!D117="")),"✓","")</f>
        <v/>
      </c>
      <c r="C33" s="53" t="s">
        <v>480</v>
      </c>
      <c r="D33" s="101" t="str">
        <f>IF(AND(Entry!D113&gt;=5,AND(Entry!D116="Check",Entry!D117="")),"✓","")</f>
        <v/>
      </c>
      <c r="E33" s="105" t="s">
        <v>481</v>
      </c>
      <c r="F33" s="101" t="str">
        <f>IF(AND(Entry!D113&gt;=5,Entry!D117="Check"),"✓","")</f>
        <v/>
      </c>
      <c r="G33" s="53" t="s">
        <v>482</v>
      </c>
      <c r="H33" s="62">
        <f>IF(F33&lt;&gt;"",3,IF(OR(E33="",D33&lt;&gt;""),2,IF(OR(C33="",B33&lt;&gt;""),1,0)))</f>
        <v>0</v>
      </c>
      <c r="I33" s="111">
        <f>MIN(H33:H34)</f>
        <v>0</v>
      </c>
    </row>
    <row r="34" spans="1:9" ht="30" x14ac:dyDescent="0.25">
      <c r="A34" s="31"/>
      <c r="B34" s="123" t="str">
        <f>IF(Entry!D118="Yes","✓","")</f>
        <v/>
      </c>
      <c r="C34" s="56" t="s">
        <v>483</v>
      </c>
      <c r="D34" s="123" t="str">
        <f>IF(Entry!D118="Yes","✓","")</f>
        <v/>
      </c>
      <c r="E34" s="56" t="s">
        <v>484</v>
      </c>
      <c r="F34" s="104" t="str">
        <f>IF(Entry!D118="Yes","✓","")</f>
        <v/>
      </c>
      <c r="G34" s="56" t="s">
        <v>485</v>
      </c>
      <c r="H34" s="64">
        <f>IF(F34&lt;&gt;"",3,IF(OR(E34="",D34&lt;&gt;""),2,IF(OR(C34="",B34&lt;&gt;""),1,0)))</f>
        <v>0</v>
      </c>
      <c r="I34" s="110"/>
    </row>
    <row r="35" spans="1:9" ht="60" x14ac:dyDescent="0.25">
      <c r="A35" s="31"/>
      <c r="B35" s="122" t="str">
        <f>IF(AND(Entry!D120="Check",Entry!D121="Check"),"✓","")</f>
        <v/>
      </c>
      <c r="C35" s="53" t="s">
        <v>486</v>
      </c>
      <c r="D35" s="122" t="str">
        <f>IF(AND(Entry!D120="Check",Entry!D121="Check"),"✓","")</f>
        <v/>
      </c>
      <c r="E35" s="53" t="s">
        <v>487</v>
      </c>
      <c r="F35" s="101" t="str">
        <f>IF(AND(Entry!D120="Check",Entry!D121="Check"),"✓","")</f>
        <v/>
      </c>
      <c r="G35" s="53" t="s">
        <v>488</v>
      </c>
      <c r="H35" s="62">
        <f t="shared" ref="H35:H36" si="9">IF(F35&lt;&gt;"",3,IF(OR(E35="",D35&lt;&gt;""),2,IF(OR(C35="",B35&lt;&gt;""),1,0)))</f>
        <v>0</v>
      </c>
      <c r="I35" s="111">
        <f>MIN(H35:H36)</f>
        <v>0</v>
      </c>
    </row>
    <row r="36" spans="1:9" ht="46.5" customHeight="1" x14ac:dyDescent="0.25">
      <c r="A36" s="31"/>
      <c r="B36" s="104" t="str">
        <f>IF(AND(COUNTA(Entry!D124:D126)=3,COUNTA(Entry!E124:G126)=0),"✓","")</f>
        <v/>
      </c>
      <c r="C36" s="56" t="s">
        <v>489</v>
      </c>
      <c r="D36" s="123" t="str">
        <f>IF(AND(COUNTA(Entry!D124:D126)=3,COUNTA(Entry!E124:G126)&gt;0),"✓","")</f>
        <v/>
      </c>
      <c r="E36" s="57" t="s">
        <v>490</v>
      </c>
      <c r="F36" s="104" t="str">
        <f>IF(AND(COUNTA(Entry!D124:D126)=3,COUNTA(Entry!E124:G126)&gt;0),"✓","")</f>
        <v/>
      </c>
      <c r="G36" s="56" t="s">
        <v>491</v>
      </c>
      <c r="H36" s="64">
        <f t="shared" si="9"/>
        <v>0</v>
      </c>
      <c r="I36" s="110"/>
    </row>
    <row r="37" spans="1:9" ht="30" x14ac:dyDescent="0.25">
      <c r="A37" s="31"/>
      <c r="B37" s="122" t="str">
        <f>IF(COUNTA(Entry!D131:E135)&gt;0,"✓","")</f>
        <v/>
      </c>
      <c r="C37" s="53" t="s">
        <v>492</v>
      </c>
      <c r="D37" s="122" t="str">
        <f>IF(COUNTA(Entry!D131:E135)&gt;0,"✓","")</f>
        <v/>
      </c>
      <c r="E37" s="53" t="s">
        <v>493</v>
      </c>
      <c r="F37" s="101" t="str">
        <f>IF(COUNTA(Entry!D131:E135)&gt;0,"✓","")</f>
        <v/>
      </c>
      <c r="G37" s="53" t="s">
        <v>494</v>
      </c>
      <c r="H37" s="65">
        <f t="shared" ref="H37:H43" si="10">IF(F37&lt;&gt;"",3,IF(OR(E37="",D37&lt;&gt;""),2,IF(OR(C37="",B37&lt;&gt;""),1,0)))</f>
        <v>0</v>
      </c>
      <c r="I37" s="111">
        <f>MIN(H37:H40)</f>
        <v>0</v>
      </c>
    </row>
    <row r="38" spans="1:9" ht="30" x14ac:dyDescent="0.25">
      <c r="A38" s="31"/>
      <c r="B38" s="103"/>
      <c r="C38" s="54"/>
      <c r="D38" s="120" t="str">
        <f>IF(Entry!D136="Yes","✓","")</f>
        <v/>
      </c>
      <c r="E38" s="55" t="s">
        <v>495</v>
      </c>
      <c r="F38" s="103" t="str">
        <f>IF(Entry!D136="Yes","✓","")</f>
        <v/>
      </c>
      <c r="G38" s="55" t="s">
        <v>496</v>
      </c>
      <c r="H38" s="63">
        <f t="shared" si="10"/>
        <v>1</v>
      </c>
      <c r="I38" s="108"/>
    </row>
    <row r="39" spans="1:9" ht="45" x14ac:dyDescent="0.25">
      <c r="A39" s="31"/>
      <c r="B39" s="103"/>
      <c r="C39" s="54"/>
      <c r="D39" s="103" t="str">
        <f>IF(AND(Entry!D137="Yes",Entry!D138&lt;&gt;"Yes"),"✓","")</f>
        <v/>
      </c>
      <c r="E39" s="55" t="s">
        <v>497</v>
      </c>
      <c r="F39" s="103" t="str">
        <f>IF(AND(Entry!D137="Yes",Entry!D138="Yes"),"✓","")</f>
        <v/>
      </c>
      <c r="G39" s="55" t="s">
        <v>498</v>
      </c>
      <c r="H39" s="63">
        <f t="shared" si="10"/>
        <v>1</v>
      </c>
      <c r="I39" s="108"/>
    </row>
    <row r="40" spans="1:9" ht="45" x14ac:dyDescent="0.25">
      <c r="A40" s="32"/>
      <c r="B40" s="104"/>
      <c r="C40" s="56"/>
      <c r="D40" s="104"/>
      <c r="E40" s="57"/>
      <c r="F40" s="104" t="str">
        <f>IF(Entry!D139="Yes","✓","")</f>
        <v/>
      </c>
      <c r="G40" s="56" t="s">
        <v>499</v>
      </c>
      <c r="H40" s="64">
        <f t="shared" si="10"/>
        <v>2</v>
      </c>
      <c r="I40" s="110"/>
    </row>
    <row r="41" spans="1:9" ht="60" x14ac:dyDescent="0.25">
      <c r="A41" s="30" t="s">
        <v>91</v>
      </c>
      <c r="B41" s="122" t="str">
        <f>IF(Entry!D144="Yes","✓","")</f>
        <v/>
      </c>
      <c r="C41" s="53" t="s">
        <v>518</v>
      </c>
      <c r="D41" s="122" t="str">
        <f>IF(Entry!D144="Yes","✓","")</f>
        <v/>
      </c>
      <c r="E41" s="53" t="s">
        <v>519</v>
      </c>
      <c r="F41" s="101" t="str">
        <f>IF(Entry!D144="Yes","✓","")</f>
        <v/>
      </c>
      <c r="G41" s="53" t="s">
        <v>520</v>
      </c>
      <c r="H41" s="62">
        <f t="shared" si="10"/>
        <v>0</v>
      </c>
      <c r="I41" s="111">
        <f>MIN(H41:H42)</f>
        <v>0</v>
      </c>
    </row>
    <row r="42" spans="1:9" ht="30" x14ac:dyDescent="0.25">
      <c r="A42" s="32"/>
      <c r="B42" s="104" t="str">
        <f>IF(SUM(Entry!D20:E22)&gt;0,IF(AND(Entry!D145/SUM(Entry!D20:E22)&gt;=0.5,Entry!D145/SUM(Entry!D20:E22)&lt;0.75),"✓",""),"")</f>
        <v/>
      </c>
      <c r="C42" s="56" t="s">
        <v>500</v>
      </c>
      <c r="D42" s="104" t="str">
        <f>IF(SUM(Entry!D20:E22)&gt;0,IF(AND(Entry!D145/SUM(Entry!D20:E22)&gt;=0.75,Entry!D145/SUM(Entry!D20:E22)&lt;0.85),"✓",""),"")</f>
        <v/>
      </c>
      <c r="E42" s="57" t="s">
        <v>501</v>
      </c>
      <c r="F42" s="104" t="str">
        <f>IF(SUM(Entry!D20:E22)&gt;0,IF(AND(Entry!D145/SUM(Entry!D20:E22)&gt;=0.85),"✓",""),"")</f>
        <v/>
      </c>
      <c r="G42" s="56" t="s">
        <v>502</v>
      </c>
      <c r="H42" s="64">
        <f t="shared" si="10"/>
        <v>0</v>
      </c>
      <c r="I42" s="110"/>
    </row>
    <row r="43" spans="1:9" ht="60" x14ac:dyDescent="0.25">
      <c r="A43" s="30" t="s">
        <v>92</v>
      </c>
      <c r="B43" s="102" t="str">
        <f>IF(AND(COUNTA(Entry!D151:G151)&gt;0,D43=""),"✓","")</f>
        <v/>
      </c>
      <c r="C43" s="27" t="s">
        <v>503</v>
      </c>
      <c r="D43" s="121" t="str">
        <f>IF(COUNTA(Entry!D152:G155)&gt;0,"✓","")</f>
        <v/>
      </c>
      <c r="E43" s="28" t="s">
        <v>504</v>
      </c>
      <c r="F43" s="102" t="str">
        <f>IF(COUNTA(Entry!D152:G155)&gt;0,"✓","")</f>
        <v/>
      </c>
      <c r="G43" s="28" t="s">
        <v>505</v>
      </c>
      <c r="H43" s="62">
        <f t="shared" si="10"/>
        <v>0</v>
      </c>
      <c r="I43" s="109">
        <f>IF(F43&lt;&gt;"",3,IF(OR(E43="",D43&lt;&gt;""),2,IF(OR(C43="",B43&lt;&gt;""),1,0)))</f>
        <v>0</v>
      </c>
    </row>
    <row r="44" spans="1:9" ht="45" x14ac:dyDescent="0.25">
      <c r="A44" s="31"/>
      <c r="B44" s="122" t="str">
        <f>IF(Entry!D157="Yes","✓","")</f>
        <v/>
      </c>
      <c r="C44" s="53" t="s">
        <v>506</v>
      </c>
      <c r="D44" s="122" t="str">
        <f>IF(Entry!D157="Yes","✓","")</f>
        <v/>
      </c>
      <c r="E44" s="53" t="s">
        <v>507</v>
      </c>
      <c r="F44" s="101" t="str">
        <f>IF(Entry!D157="Yes","✓","")</f>
        <v/>
      </c>
      <c r="G44" s="53" t="s">
        <v>508</v>
      </c>
      <c r="H44" s="62">
        <f t="shared" ref="H44:H47" si="11">IF(F44&lt;&gt;"",3,IF(OR(E44="",D44&lt;&gt;""),2,IF(OR(C44="",B44&lt;&gt;""),1,0)))</f>
        <v>0</v>
      </c>
      <c r="I44" s="111">
        <f>MIN(H44:H48)</f>
        <v>0</v>
      </c>
    </row>
    <row r="45" spans="1:9" ht="15.75" x14ac:dyDescent="0.25">
      <c r="A45" s="31"/>
      <c r="B45" s="103"/>
      <c r="C45" s="54"/>
      <c r="D45" s="120" t="str">
        <f>IF(Entry!D158="Yes","✓","")</f>
        <v/>
      </c>
      <c r="E45" s="55" t="s">
        <v>509</v>
      </c>
      <c r="F45" s="103" t="str">
        <f>IF(Entry!D158="Yes","✓","")</f>
        <v/>
      </c>
      <c r="G45" s="55" t="s">
        <v>510</v>
      </c>
      <c r="H45" s="63">
        <f t="shared" si="11"/>
        <v>1</v>
      </c>
      <c r="I45" s="108"/>
    </row>
    <row r="46" spans="1:9" ht="45" x14ac:dyDescent="0.25">
      <c r="A46" s="31"/>
      <c r="B46" s="103"/>
      <c r="C46" s="54"/>
      <c r="D46" s="103"/>
      <c r="E46" s="55"/>
      <c r="F46" s="103" t="str">
        <f>IF(Entry!D159="Yes","✓","")</f>
        <v/>
      </c>
      <c r="G46" s="54" t="s">
        <v>511</v>
      </c>
      <c r="H46" s="63">
        <f t="shared" si="11"/>
        <v>2</v>
      </c>
      <c r="I46" s="108"/>
    </row>
    <row r="47" spans="1:9" ht="45" x14ac:dyDescent="0.25">
      <c r="A47" s="31"/>
      <c r="B47" s="103"/>
      <c r="C47" s="54"/>
      <c r="D47" s="103" t="str">
        <f>IF(AND(Entry!D160="Yes",F47=""),"✓","")</f>
        <v/>
      </c>
      <c r="E47" s="55" t="s">
        <v>512</v>
      </c>
      <c r="F47" s="103" t="str">
        <f>IF(Entry!D161="Yes","✓","")</f>
        <v/>
      </c>
      <c r="G47" s="54" t="s">
        <v>513</v>
      </c>
      <c r="H47" s="63">
        <f t="shared" si="11"/>
        <v>1</v>
      </c>
      <c r="I47" s="108"/>
    </row>
    <row r="48" spans="1:9" ht="30" x14ac:dyDescent="0.25">
      <c r="A48" s="32"/>
      <c r="B48" s="104"/>
      <c r="C48" s="56"/>
      <c r="D48" s="123" t="str">
        <f>IF(Entry!D162="Yes","✓","")</f>
        <v/>
      </c>
      <c r="E48" s="57" t="s">
        <v>514</v>
      </c>
      <c r="F48" s="104" t="str">
        <f>IF(Entry!D162="Yes","✓","")</f>
        <v/>
      </c>
      <c r="G48" s="56" t="s">
        <v>515</v>
      </c>
      <c r="H48" s="64">
        <f t="shared" ref="H48" si="12">IF(F48&lt;&gt;"",3,IF(OR(E48="",D48&lt;&gt;""),2,IF(OR(C48="",B48&lt;&gt;""),1,0)))</f>
        <v>1</v>
      </c>
      <c r="I48" s="110"/>
    </row>
  </sheetData>
  <sheetProtection sheet="1" objects="1" scenarios="1"/>
  <conditionalFormatting sqref="C12 E12 G12:I12">
    <cfRule type="expression" dxfId="31" priority="36">
      <formula>$H12=0</formula>
    </cfRule>
  </conditionalFormatting>
  <conditionalFormatting sqref="D12">
    <cfRule type="expression" dxfId="30" priority="35">
      <formula>$H12=0</formula>
    </cfRule>
  </conditionalFormatting>
  <conditionalFormatting sqref="C9 E9 G9:I9">
    <cfRule type="expression" dxfId="29" priority="34">
      <formula>$H9=0</formula>
    </cfRule>
  </conditionalFormatting>
  <conditionalFormatting sqref="D9">
    <cfRule type="expression" dxfId="28" priority="33">
      <formula>$H9=0</formula>
    </cfRule>
  </conditionalFormatting>
  <conditionalFormatting sqref="C28 E28 G28:I28">
    <cfRule type="expression" dxfId="27" priority="32">
      <formula>$H28=0</formula>
    </cfRule>
  </conditionalFormatting>
  <conditionalFormatting sqref="D28">
    <cfRule type="expression" dxfId="26" priority="31">
      <formula>$H28=0</formula>
    </cfRule>
  </conditionalFormatting>
  <conditionalFormatting sqref="C37 E37 G37:I37">
    <cfRule type="expression" dxfId="25" priority="30">
      <formula>$H37=0</formula>
    </cfRule>
  </conditionalFormatting>
  <conditionalFormatting sqref="D37">
    <cfRule type="expression" dxfId="24" priority="29">
      <formula>$H37=0</formula>
    </cfRule>
  </conditionalFormatting>
  <conditionalFormatting sqref="C30 E30 G30:I30">
    <cfRule type="expression" dxfId="23" priority="28">
      <formula>$H30=0</formula>
    </cfRule>
  </conditionalFormatting>
  <conditionalFormatting sqref="D30">
    <cfRule type="expression" dxfId="22" priority="27">
      <formula>$H30=0</formula>
    </cfRule>
  </conditionalFormatting>
  <conditionalFormatting sqref="H28">
    <cfRule type="expression" dxfId="21" priority="26">
      <formula>$H28=0</formula>
    </cfRule>
  </conditionalFormatting>
  <conditionalFormatting sqref="F12">
    <cfRule type="expression" dxfId="20" priority="25">
      <formula>$H12=0</formula>
    </cfRule>
  </conditionalFormatting>
  <conditionalFormatting sqref="F9">
    <cfRule type="expression" dxfId="19" priority="24">
      <formula>$H9=0</formula>
    </cfRule>
  </conditionalFormatting>
  <conditionalFormatting sqref="F28">
    <cfRule type="expression" dxfId="18" priority="23">
      <formula>$H28=0</formula>
    </cfRule>
  </conditionalFormatting>
  <conditionalFormatting sqref="F37">
    <cfRule type="expression" dxfId="17" priority="22">
      <formula>$H37=0</formula>
    </cfRule>
  </conditionalFormatting>
  <conditionalFormatting sqref="F30">
    <cfRule type="expression" dxfId="16" priority="21">
      <formula>$H30=0</formula>
    </cfRule>
  </conditionalFormatting>
  <conditionalFormatting sqref="B12">
    <cfRule type="expression" dxfId="15" priority="20">
      <formula>$H12=0</formula>
    </cfRule>
  </conditionalFormatting>
  <conditionalFormatting sqref="B9">
    <cfRule type="expression" dxfId="14" priority="19">
      <formula>$H9=0</formula>
    </cfRule>
  </conditionalFormatting>
  <conditionalFormatting sqref="B28">
    <cfRule type="expression" dxfId="13" priority="18">
      <formula>$H28=0</formula>
    </cfRule>
  </conditionalFormatting>
  <conditionalFormatting sqref="B37">
    <cfRule type="expression" dxfId="12" priority="17">
      <formula>$H37=0</formula>
    </cfRule>
  </conditionalFormatting>
  <conditionalFormatting sqref="B30">
    <cfRule type="expression" dxfId="11" priority="16">
      <formula>$H30=0</formula>
    </cfRule>
  </conditionalFormatting>
  <conditionalFormatting sqref="I41">
    <cfRule type="expression" dxfId="10" priority="15">
      <formula>$H41=0</formula>
    </cfRule>
  </conditionalFormatting>
  <conditionalFormatting sqref="I9:I48">
    <cfRule type="containsBlanks" dxfId="9" priority="9">
      <formula>LEN(TRIM(I9))=0</formula>
    </cfRule>
    <cfRule type="cellIs" dxfId="8" priority="10" operator="equal">
      <formula>0</formula>
    </cfRule>
    <cfRule type="cellIs" dxfId="7" priority="11" operator="equal">
      <formula>3</formula>
    </cfRule>
    <cfRule type="cellIs" dxfId="6" priority="12" operator="equal">
      <formula>1</formula>
    </cfRule>
    <cfRule type="cellIs" dxfId="5" priority="13" operator="equal">
      <formula>2</formula>
    </cfRule>
    <cfRule type="cellIs" dxfId="4" priority="14" operator="equal">
      <formula>2</formula>
    </cfRule>
  </conditionalFormatting>
  <conditionalFormatting sqref="I4">
    <cfRule type="cellIs" dxfId="3" priority="5" operator="equal">
      <formula>"★★★"</formula>
    </cfRule>
    <cfRule type="cellIs" dxfId="2" priority="6" operator="equal">
      <formula>"★"</formula>
    </cfRule>
    <cfRule type="cellIs" dxfId="1" priority="7" operator="equal">
      <formula>"0 Star"</formula>
    </cfRule>
    <cfRule type="cellIs" dxfId="0" priority="8" operator="equal">
      <formula>"★★"</formula>
    </cfRule>
  </conditionalFormatting>
  <pageMargins left="0.25" right="0.25" top="0.75" bottom="0.5" header="0.3" footer="0.25"/>
  <pageSetup paperSize="9" orientation="landscape" r:id="rId1"/>
  <headerFooter>
    <oddFooter>Page &amp;P of &amp;N</oddFooter>
  </headerFooter>
  <rowBreaks count="1" manualBreakCount="1">
    <brk id="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workbookViewId="0"/>
  </sheetViews>
  <sheetFormatPr defaultRowHeight="15" x14ac:dyDescent="0.25"/>
  <cols>
    <col min="15" max="15" width="30.7109375" bestFit="1" customWidth="1"/>
  </cols>
  <sheetData>
    <row r="1" spans="1:11" x14ac:dyDescent="0.25">
      <c r="A1" s="19" t="s">
        <v>387</v>
      </c>
      <c r="B1" s="19"/>
      <c r="C1" s="19"/>
      <c r="D1" s="19"/>
      <c r="E1" s="19"/>
      <c r="F1" s="19"/>
      <c r="G1" s="19"/>
      <c r="H1" s="19"/>
      <c r="I1" s="19"/>
      <c r="J1" s="19"/>
      <c r="K1" s="19"/>
    </row>
    <row r="2" spans="1:11" x14ac:dyDescent="0.25">
      <c r="A2" s="33" t="str">
        <f>Entry!D10 &amp; IF(Entry!D13&lt;&gt;"", ", "  &amp; Entry!D13, "") &amp; ", " &amp; Entry!D14</f>
        <v xml:space="preserve">, </v>
      </c>
      <c r="B2" s="19"/>
      <c r="C2" s="19"/>
      <c r="D2" s="19"/>
      <c r="E2" s="19"/>
      <c r="F2" s="19"/>
      <c r="G2" s="19"/>
      <c r="H2" s="19"/>
      <c r="I2" s="19"/>
      <c r="J2" s="19"/>
      <c r="K2" s="19"/>
    </row>
    <row r="81" spans="15:16" x14ac:dyDescent="0.25">
      <c r="O81" s="36" t="s">
        <v>352</v>
      </c>
    </row>
    <row r="82" spans="15:16" x14ac:dyDescent="0.25">
      <c r="O82" t="s">
        <v>351</v>
      </c>
      <c r="P82" s="106">
        <f>ROUND(AVERAGE('3Stars'!I9:I11),0)</f>
        <v>0</v>
      </c>
    </row>
    <row r="83" spans="15:16" x14ac:dyDescent="0.25">
      <c r="O83" t="s">
        <v>88</v>
      </c>
      <c r="P83" s="106">
        <f>ROUND(AVERAGE('3Stars'!I12:I27),0)</f>
        <v>0</v>
      </c>
    </row>
    <row r="84" spans="15:16" x14ac:dyDescent="0.25">
      <c r="O84" t="s">
        <v>89</v>
      </c>
      <c r="P84" s="106">
        <f>ROUND(AVERAGE('3Stars'!I28:I40),0)</f>
        <v>0</v>
      </c>
    </row>
    <row r="85" spans="15:16" x14ac:dyDescent="0.25">
      <c r="O85" t="s">
        <v>91</v>
      </c>
      <c r="P85" s="106">
        <f>'3Stars'!I41</f>
        <v>0</v>
      </c>
    </row>
    <row r="86" spans="15:16" x14ac:dyDescent="0.25">
      <c r="O86" t="s">
        <v>92</v>
      </c>
      <c r="P86" s="106">
        <f>ROUND(AVERAGE('3Stars'!I43:I48),0)</f>
        <v>0</v>
      </c>
    </row>
    <row r="87" spans="15:16" x14ac:dyDescent="0.25">
      <c r="P87" s="106"/>
    </row>
    <row r="89" spans="15:16" x14ac:dyDescent="0.25">
      <c r="O89" s="36" t="s">
        <v>353</v>
      </c>
    </row>
    <row r="90" spans="15:16" x14ac:dyDescent="0.25">
      <c r="O90" t="s">
        <v>395</v>
      </c>
      <c r="P90">
        <f>'3Stars'!H9</f>
        <v>0</v>
      </c>
    </row>
    <row r="91" spans="15:16" x14ac:dyDescent="0.25">
      <c r="O91" t="s">
        <v>355</v>
      </c>
      <c r="P91">
        <f>'3Stars'!H10</f>
        <v>0</v>
      </c>
    </row>
    <row r="92" spans="15:16" x14ac:dyDescent="0.25">
      <c r="O92" t="s">
        <v>354</v>
      </c>
      <c r="P92">
        <f>'3Stars'!H11</f>
        <v>0</v>
      </c>
    </row>
    <row r="95" spans="15:16" x14ac:dyDescent="0.25">
      <c r="O95" s="36" t="s">
        <v>356</v>
      </c>
    </row>
    <row r="96" spans="15:16" x14ac:dyDescent="0.25">
      <c r="O96" t="s">
        <v>517</v>
      </c>
      <c r="P96">
        <f>'3Stars'!H12</f>
        <v>0</v>
      </c>
    </row>
    <row r="97" spans="15:16" x14ac:dyDescent="0.25">
      <c r="O97" t="s">
        <v>357</v>
      </c>
      <c r="P97">
        <f>'3Stars'!H13</f>
        <v>0</v>
      </c>
    </row>
    <row r="98" spans="15:16" x14ac:dyDescent="0.25">
      <c r="O98" t="s">
        <v>358</v>
      </c>
      <c r="P98">
        <f>'3Stars'!H14</f>
        <v>1</v>
      </c>
    </row>
    <row r="99" spans="15:16" x14ac:dyDescent="0.25">
      <c r="O99" t="s">
        <v>359</v>
      </c>
      <c r="P99">
        <f>'3Stars'!H15</f>
        <v>1</v>
      </c>
    </row>
    <row r="100" spans="15:16" x14ac:dyDescent="0.25">
      <c r="O100" t="s">
        <v>360</v>
      </c>
      <c r="P100">
        <f>'3Stars'!H16</f>
        <v>1</v>
      </c>
    </row>
    <row r="101" spans="15:16" x14ac:dyDescent="0.25">
      <c r="O101" t="s">
        <v>361</v>
      </c>
      <c r="P101">
        <f>'3Stars'!H17</f>
        <v>2</v>
      </c>
    </row>
    <row r="102" spans="15:16" x14ac:dyDescent="0.25">
      <c r="O102" t="s">
        <v>362</v>
      </c>
      <c r="P102">
        <f>'3Stars'!H18</f>
        <v>0</v>
      </c>
    </row>
    <row r="103" spans="15:16" x14ac:dyDescent="0.25">
      <c r="O103" t="s">
        <v>363</v>
      </c>
      <c r="P103">
        <f>'3Stars'!H19</f>
        <v>0</v>
      </c>
    </row>
    <row r="104" spans="15:16" x14ac:dyDescent="0.25">
      <c r="O104" t="s">
        <v>397</v>
      </c>
      <c r="P104">
        <f>'3Stars'!H20</f>
        <v>0</v>
      </c>
    </row>
    <row r="105" spans="15:16" x14ac:dyDescent="0.25">
      <c r="O105" t="s">
        <v>399</v>
      </c>
      <c r="P105">
        <f>'3Stars'!H21</f>
        <v>0</v>
      </c>
    </row>
    <row r="106" spans="15:16" x14ac:dyDescent="0.25">
      <c r="O106" t="s">
        <v>383</v>
      </c>
      <c r="P106">
        <f>'3Stars'!H22</f>
        <v>0</v>
      </c>
    </row>
    <row r="107" spans="15:16" x14ac:dyDescent="0.25">
      <c r="O107" t="s">
        <v>364</v>
      </c>
      <c r="P107">
        <f>'3Stars'!H23</f>
        <v>0</v>
      </c>
    </row>
    <row r="108" spans="15:16" x14ac:dyDescent="0.25">
      <c r="O108" t="s">
        <v>365</v>
      </c>
      <c r="P108">
        <f>'3Stars'!H24</f>
        <v>0</v>
      </c>
    </row>
    <row r="109" spans="15:16" x14ac:dyDescent="0.25">
      <c r="O109" t="s">
        <v>366</v>
      </c>
      <c r="P109">
        <f>'3Stars'!H25</f>
        <v>0</v>
      </c>
    </row>
    <row r="110" spans="15:16" x14ac:dyDescent="0.25">
      <c r="O110" t="s">
        <v>398</v>
      </c>
      <c r="P110" s="106">
        <f>'3Stars'!H26</f>
        <v>2</v>
      </c>
    </row>
    <row r="111" spans="15:16" x14ac:dyDescent="0.25">
      <c r="O111" t="s">
        <v>367</v>
      </c>
      <c r="P111">
        <f>'3Stars'!H27</f>
        <v>0</v>
      </c>
    </row>
    <row r="113" spans="15:16" x14ac:dyDescent="0.25">
      <c r="O113" s="36" t="s">
        <v>368</v>
      </c>
    </row>
    <row r="114" spans="15:16" x14ac:dyDescent="0.25">
      <c r="O114" t="s">
        <v>391</v>
      </c>
      <c r="P114">
        <f>'3Stars'!H28</f>
        <v>5</v>
      </c>
    </row>
    <row r="115" spans="15:16" x14ac:dyDescent="0.25">
      <c r="O115" t="s">
        <v>384</v>
      </c>
      <c r="P115">
        <f>'3Stars'!H29</f>
        <v>0</v>
      </c>
    </row>
    <row r="116" spans="15:16" x14ac:dyDescent="0.25">
      <c r="O116" t="s">
        <v>392</v>
      </c>
      <c r="P116">
        <f>'3Stars'!H30</f>
        <v>5</v>
      </c>
    </row>
    <row r="117" spans="15:16" x14ac:dyDescent="0.25">
      <c r="O117" t="s">
        <v>393</v>
      </c>
      <c r="P117">
        <f>'3Stars'!H31</f>
        <v>2</v>
      </c>
    </row>
    <row r="118" spans="15:16" x14ac:dyDescent="0.25">
      <c r="O118" t="s">
        <v>394</v>
      </c>
      <c r="P118">
        <f>'3Stars'!H32</f>
        <v>2</v>
      </c>
    </row>
    <row r="119" spans="15:16" x14ac:dyDescent="0.25">
      <c r="O119" t="s">
        <v>388</v>
      </c>
      <c r="P119">
        <f>'3Stars'!H33</f>
        <v>0</v>
      </c>
    </row>
    <row r="120" spans="15:16" x14ac:dyDescent="0.25">
      <c r="O120" t="s">
        <v>389</v>
      </c>
      <c r="P120">
        <f>'3Stars'!H34</f>
        <v>0</v>
      </c>
    </row>
    <row r="121" spans="15:16" x14ac:dyDescent="0.25">
      <c r="O121" t="s">
        <v>390</v>
      </c>
      <c r="P121">
        <f>'3Stars'!H35</f>
        <v>0</v>
      </c>
    </row>
    <row r="122" spans="15:16" x14ac:dyDescent="0.25">
      <c r="O122" t="s">
        <v>369</v>
      </c>
      <c r="P122">
        <f>'3Stars'!H36</f>
        <v>0</v>
      </c>
    </row>
    <row r="123" spans="15:16" x14ac:dyDescent="0.25">
      <c r="O123" t="s">
        <v>370</v>
      </c>
      <c r="P123">
        <f>'3Stars'!H37</f>
        <v>0</v>
      </c>
    </row>
    <row r="124" spans="15:16" x14ac:dyDescent="0.25">
      <c r="O124" t="s">
        <v>385</v>
      </c>
      <c r="P124">
        <f>'3Stars'!H38</f>
        <v>1</v>
      </c>
    </row>
    <row r="125" spans="15:16" x14ac:dyDescent="0.25">
      <c r="O125" t="s">
        <v>371</v>
      </c>
      <c r="P125">
        <f>'3Stars'!H39</f>
        <v>1</v>
      </c>
    </row>
    <row r="126" spans="15:16" x14ac:dyDescent="0.25">
      <c r="O126" t="s">
        <v>372</v>
      </c>
      <c r="P126">
        <f>'3Stars'!H40</f>
        <v>2</v>
      </c>
    </row>
    <row r="128" spans="15:16" x14ac:dyDescent="0.25">
      <c r="O128" s="36" t="s">
        <v>373</v>
      </c>
    </row>
    <row r="129" spans="15:16" x14ac:dyDescent="0.25">
      <c r="O129" t="s">
        <v>374</v>
      </c>
      <c r="P129">
        <f>'3Stars'!H41</f>
        <v>0</v>
      </c>
    </row>
    <row r="130" spans="15:16" x14ac:dyDescent="0.25">
      <c r="O130" t="s">
        <v>375</v>
      </c>
      <c r="P130">
        <f>'3Stars'!H42</f>
        <v>0</v>
      </c>
    </row>
    <row r="135" spans="15:16" x14ac:dyDescent="0.25">
      <c r="O135" s="36" t="s">
        <v>381</v>
      </c>
    </row>
    <row r="136" spans="15:16" x14ac:dyDescent="0.25">
      <c r="O136" t="s">
        <v>376</v>
      </c>
      <c r="P136">
        <f>'3Stars'!H43</f>
        <v>0</v>
      </c>
    </row>
    <row r="137" spans="15:16" x14ac:dyDescent="0.25">
      <c r="O137" t="s">
        <v>378</v>
      </c>
      <c r="P137">
        <f>'3Stars'!H44</f>
        <v>0</v>
      </c>
    </row>
    <row r="138" spans="15:16" x14ac:dyDescent="0.25">
      <c r="O138" t="s">
        <v>379</v>
      </c>
      <c r="P138">
        <f>'3Stars'!H45</f>
        <v>1</v>
      </c>
    </row>
    <row r="139" spans="15:16" x14ac:dyDescent="0.25">
      <c r="O139" t="s">
        <v>377</v>
      </c>
      <c r="P139">
        <f>'3Stars'!H46</f>
        <v>2</v>
      </c>
    </row>
    <row r="140" spans="15:16" x14ac:dyDescent="0.25">
      <c r="O140" t="s">
        <v>380</v>
      </c>
      <c r="P140">
        <f>'3Stars'!H47</f>
        <v>1</v>
      </c>
    </row>
    <row r="141" spans="15:16" x14ac:dyDescent="0.25">
      <c r="O141" t="s">
        <v>386</v>
      </c>
      <c r="P141">
        <f>'3Stars'!H48</f>
        <v>1</v>
      </c>
    </row>
  </sheetData>
  <sheetProtection sheet="1" objects="1" scenarios="1"/>
  <printOptions horizontalCentered="1"/>
  <pageMargins left="0.25" right="0.25" top="0.25" bottom="0.2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
  <sheetViews>
    <sheetView zoomScale="115" zoomScaleNormal="115" workbookViewId="0">
      <pane ySplit="1" topLeftCell="A2" activePane="bottomLeft" state="frozen"/>
      <selection activeCell="B3" sqref="B3"/>
      <selection pane="bottomLeft" activeCell="B3" sqref="B3"/>
    </sheetView>
  </sheetViews>
  <sheetFormatPr defaultRowHeight="15" x14ac:dyDescent="0.25"/>
  <cols>
    <col min="1" max="4" width="9.140625" style="3"/>
    <col min="5" max="5" width="21.7109375" style="3" customWidth="1"/>
    <col min="6" max="16384" width="9.140625" style="3"/>
  </cols>
  <sheetData>
    <row r="1" spans="1:11" x14ac:dyDescent="0.25">
      <c r="A1" s="3" t="s">
        <v>11</v>
      </c>
      <c r="B1" s="3" t="s">
        <v>17</v>
      </c>
      <c r="C1" s="3" t="s">
        <v>6</v>
      </c>
      <c r="D1" s="3" t="s">
        <v>170</v>
      </c>
      <c r="E1" s="3" t="s">
        <v>149</v>
      </c>
      <c r="F1" s="3" t="s">
        <v>38</v>
      </c>
      <c r="G1" s="3" t="s">
        <v>93</v>
      </c>
      <c r="H1" s="3" t="s">
        <v>95</v>
      </c>
      <c r="I1" s="3" t="s">
        <v>96</v>
      </c>
      <c r="J1" s="3" t="s">
        <v>99</v>
      </c>
      <c r="K1" s="3" t="s">
        <v>100</v>
      </c>
    </row>
    <row r="2" spans="1:11" x14ac:dyDescent="0.25">
      <c r="A2" s="3">
        <v>2016</v>
      </c>
      <c r="B2" s="3" t="s">
        <v>17</v>
      </c>
      <c r="C2" s="3" t="s">
        <v>7</v>
      </c>
      <c r="D2" s="3" t="s">
        <v>171</v>
      </c>
      <c r="E2" s="3" t="s">
        <v>150</v>
      </c>
      <c r="F2" s="3" t="s">
        <v>98</v>
      </c>
      <c r="G2" s="3" t="s">
        <v>27</v>
      </c>
      <c r="H2" s="3" t="s">
        <v>97</v>
      </c>
      <c r="I2" s="3" t="s">
        <v>97</v>
      </c>
      <c r="J2" s="3" t="s">
        <v>101</v>
      </c>
      <c r="K2" s="3" t="s">
        <v>101</v>
      </c>
    </row>
    <row r="3" spans="1:11" x14ac:dyDescent="0.25">
      <c r="A3" s="3">
        <f>A2+1</f>
        <v>2017</v>
      </c>
      <c r="B3" s="14"/>
      <c r="C3" s="3" t="s">
        <v>10</v>
      </c>
      <c r="D3" s="3" t="s">
        <v>172</v>
      </c>
      <c r="E3" s="3" t="s">
        <v>331</v>
      </c>
      <c r="F3" s="3" t="s">
        <v>36</v>
      </c>
      <c r="G3" s="3" t="s">
        <v>28</v>
      </c>
      <c r="H3" s="3" t="s">
        <v>31</v>
      </c>
      <c r="I3" s="3" t="s">
        <v>34</v>
      </c>
      <c r="J3" s="3" t="s">
        <v>46</v>
      </c>
      <c r="K3" s="3" t="s">
        <v>60</v>
      </c>
    </row>
    <row r="4" spans="1:11" x14ac:dyDescent="0.25">
      <c r="A4" s="3">
        <f t="shared" ref="A4:A16" si="0">A3+1</f>
        <v>2018</v>
      </c>
      <c r="E4" s="3" t="s">
        <v>151</v>
      </c>
      <c r="F4" s="3" t="s">
        <v>37</v>
      </c>
      <c r="G4" s="3" t="s">
        <v>29</v>
      </c>
      <c r="H4" s="3" t="s">
        <v>32</v>
      </c>
      <c r="I4" s="3" t="s">
        <v>32</v>
      </c>
      <c r="J4" s="3" t="s">
        <v>47</v>
      </c>
      <c r="K4" s="3" t="s">
        <v>61</v>
      </c>
    </row>
    <row r="5" spans="1:11" x14ac:dyDescent="0.25">
      <c r="A5" s="3">
        <f t="shared" si="0"/>
        <v>2019</v>
      </c>
      <c r="H5" s="3" t="s">
        <v>33</v>
      </c>
      <c r="I5" s="3" t="s">
        <v>35</v>
      </c>
    </row>
    <row r="6" spans="1:11" x14ac:dyDescent="0.25">
      <c r="A6" s="3">
        <f t="shared" si="0"/>
        <v>2020</v>
      </c>
    </row>
    <row r="7" spans="1:11" x14ac:dyDescent="0.25">
      <c r="A7" s="3">
        <f t="shared" si="0"/>
        <v>2021</v>
      </c>
    </row>
    <row r="8" spans="1:11" x14ac:dyDescent="0.25">
      <c r="A8" s="3">
        <f t="shared" si="0"/>
        <v>2022</v>
      </c>
    </row>
    <row r="9" spans="1:11" x14ac:dyDescent="0.25">
      <c r="A9" s="3">
        <f t="shared" si="0"/>
        <v>2023</v>
      </c>
    </row>
    <row r="10" spans="1:11" x14ac:dyDescent="0.25">
      <c r="A10" s="3">
        <f t="shared" si="0"/>
        <v>2024</v>
      </c>
    </row>
    <row r="11" spans="1:11" x14ac:dyDescent="0.25">
      <c r="A11" s="3">
        <f t="shared" si="0"/>
        <v>2025</v>
      </c>
    </row>
    <row r="12" spans="1:11" x14ac:dyDescent="0.25">
      <c r="A12" s="3">
        <f t="shared" si="0"/>
        <v>2026</v>
      </c>
    </row>
    <row r="13" spans="1:11" x14ac:dyDescent="0.25">
      <c r="A13" s="3">
        <f t="shared" si="0"/>
        <v>2027</v>
      </c>
    </row>
    <row r="14" spans="1:11" x14ac:dyDescent="0.25">
      <c r="A14" s="3">
        <f t="shared" si="0"/>
        <v>2028</v>
      </c>
    </row>
    <row r="15" spans="1:11" x14ac:dyDescent="0.25">
      <c r="A15" s="3">
        <f t="shared" si="0"/>
        <v>2029</v>
      </c>
    </row>
    <row r="16" spans="1:11" x14ac:dyDescent="0.25">
      <c r="A16" s="3">
        <f t="shared" si="0"/>
        <v>2030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71"/>
  <sheetViews>
    <sheetView workbookViewId="0">
      <pane ySplit="1" topLeftCell="A2" activePane="bottomLeft" state="frozen"/>
      <selection pane="bottomLeft"/>
    </sheetView>
  </sheetViews>
  <sheetFormatPr defaultRowHeight="15" x14ac:dyDescent="0.25"/>
  <cols>
    <col min="1" max="1" width="30.28515625" style="4" customWidth="1"/>
    <col min="2" max="2" width="30.5703125" style="90" customWidth="1"/>
    <col min="3" max="3" width="35.85546875" style="1" customWidth="1"/>
    <col min="4" max="5" width="11.7109375" style="2" customWidth="1"/>
    <col min="6" max="16384" width="9.140625" style="1"/>
  </cols>
  <sheetData>
    <row r="1" spans="1:5" s="2" customFormat="1" ht="30" x14ac:dyDescent="0.25">
      <c r="A1" s="2" t="s">
        <v>4</v>
      </c>
      <c r="B1" s="16" t="s">
        <v>1</v>
      </c>
      <c r="C1" s="2" t="s">
        <v>0</v>
      </c>
      <c r="D1" s="2" t="s">
        <v>3</v>
      </c>
      <c r="E1" s="2" t="s">
        <v>5</v>
      </c>
    </row>
    <row r="2" spans="1:5" x14ac:dyDescent="0.25">
      <c r="A2" s="4" t="s">
        <v>178</v>
      </c>
      <c r="B2" s="90">
        <f>IF(Entry!D8&lt;&gt;"",YEAR(Entry!D8)&amp;"-"&amp;TEXT(MONTH(Entry!D8),"00")&amp;"-"&amp;TEXT(DAY(Entry!D8),"00"),0)</f>
        <v>0</v>
      </c>
      <c r="D2" s="2" t="s">
        <v>2</v>
      </c>
    </row>
    <row r="3" spans="1:5" x14ac:dyDescent="0.25">
      <c r="A3" s="4" t="s">
        <v>179</v>
      </c>
      <c r="B3" s="90">
        <f>Entry!D9</f>
        <v>0</v>
      </c>
      <c r="D3" s="2" t="s">
        <v>2</v>
      </c>
      <c r="E3" s="2" t="s">
        <v>2</v>
      </c>
    </row>
    <row r="4" spans="1:5" x14ac:dyDescent="0.25">
      <c r="A4" s="4" t="s">
        <v>180</v>
      </c>
      <c r="B4" s="90">
        <f>Entry!D10</f>
        <v>0</v>
      </c>
    </row>
    <row r="5" spans="1:5" x14ac:dyDescent="0.25">
      <c r="A5" s="4" t="s">
        <v>181</v>
      </c>
      <c r="B5" s="90">
        <f>Entry!D11</f>
        <v>0</v>
      </c>
      <c r="D5" s="2" t="s">
        <v>2</v>
      </c>
      <c r="E5" s="2" t="s">
        <v>2</v>
      </c>
    </row>
    <row r="6" spans="1:5" x14ac:dyDescent="0.25">
      <c r="A6" s="4" t="s">
        <v>177</v>
      </c>
      <c r="B6" s="90">
        <f>Entry!D12</f>
        <v>0</v>
      </c>
    </row>
    <row r="7" spans="1:5" x14ac:dyDescent="0.25">
      <c r="A7" s="4" t="s">
        <v>182</v>
      </c>
      <c r="B7" s="90">
        <f>Entry!D13</f>
        <v>0</v>
      </c>
    </row>
    <row r="8" spans="1:5" x14ac:dyDescent="0.25">
      <c r="A8" s="4" t="s">
        <v>184</v>
      </c>
      <c r="B8" s="90">
        <f>Entry!D14</f>
        <v>0</v>
      </c>
    </row>
    <row r="9" spans="1:5" x14ac:dyDescent="0.25">
      <c r="A9" s="4" t="s">
        <v>183</v>
      </c>
      <c r="B9" s="90">
        <f>Entry!D15</f>
        <v>0</v>
      </c>
    </row>
    <row r="10" spans="1:5" x14ac:dyDescent="0.25">
      <c r="A10" s="4" t="s">
        <v>185</v>
      </c>
      <c r="B10" s="90">
        <f>Entry!D16</f>
        <v>0</v>
      </c>
    </row>
    <row r="11" spans="1:5" x14ac:dyDescent="0.25">
      <c r="A11" s="4" t="s">
        <v>186</v>
      </c>
      <c r="B11" s="90">
        <f>Entry!D17</f>
        <v>0</v>
      </c>
    </row>
    <row r="12" spans="1:5" x14ac:dyDescent="0.25">
      <c r="A12" s="4" t="s">
        <v>187</v>
      </c>
      <c r="B12" s="92">
        <f>Entry!D20</f>
        <v>0</v>
      </c>
    </row>
    <row r="13" spans="1:5" x14ac:dyDescent="0.25">
      <c r="A13" s="4" t="s">
        <v>188</v>
      </c>
      <c r="B13" s="92">
        <f>Entry!E20</f>
        <v>0</v>
      </c>
    </row>
    <row r="14" spans="1:5" x14ac:dyDescent="0.25">
      <c r="A14" s="4" t="s">
        <v>189</v>
      </c>
      <c r="B14" s="92">
        <f>Entry!D21</f>
        <v>0</v>
      </c>
    </row>
    <row r="15" spans="1:5" x14ac:dyDescent="0.25">
      <c r="A15" s="4" t="s">
        <v>190</v>
      </c>
      <c r="B15" s="92">
        <f>Entry!E21</f>
        <v>0</v>
      </c>
    </row>
    <row r="16" spans="1:5" s="2" customFormat="1" x14ac:dyDescent="0.25">
      <c r="A16" s="4" t="s">
        <v>191</v>
      </c>
      <c r="B16" s="93">
        <f>Entry!D22</f>
        <v>0</v>
      </c>
      <c r="C16" s="1"/>
    </row>
    <row r="17" spans="1:2" x14ac:dyDescent="0.25">
      <c r="A17" s="4" t="s">
        <v>192</v>
      </c>
      <c r="B17" s="92">
        <f>Entry!E22</f>
        <v>0</v>
      </c>
    </row>
    <row r="18" spans="1:2" x14ac:dyDescent="0.25">
      <c r="A18" s="4" t="s">
        <v>332</v>
      </c>
      <c r="B18" s="90">
        <f>IF(Entry!D27="All the time",1,0)</f>
        <v>0</v>
      </c>
    </row>
    <row r="19" spans="1:2" x14ac:dyDescent="0.25">
      <c r="A19" s="4" t="s">
        <v>333</v>
      </c>
      <c r="B19" s="90">
        <f>IF(Entry!D27="Yes, but supply is not regular",1,0)</f>
        <v>0</v>
      </c>
    </row>
    <row r="20" spans="1:2" x14ac:dyDescent="0.25">
      <c r="A20" s="4" t="s">
        <v>330</v>
      </c>
      <c r="B20" s="90">
        <f>IF(OR(Entry!D27="No drinking water in the school",Entry!D27=""),1,0)</f>
        <v>1</v>
      </c>
    </row>
    <row r="21" spans="1:2" x14ac:dyDescent="0.25">
      <c r="A21" s="4" t="s">
        <v>197</v>
      </c>
      <c r="B21" s="90">
        <f>Entry!D28</f>
        <v>0</v>
      </c>
    </row>
    <row r="22" spans="1:2" x14ac:dyDescent="0.25">
      <c r="A22" s="4" t="s">
        <v>194</v>
      </c>
      <c r="B22" s="90">
        <f>Entry!D30</f>
        <v>0</v>
      </c>
    </row>
    <row r="23" spans="1:2" x14ac:dyDescent="0.25">
      <c r="A23" s="4" t="s">
        <v>195</v>
      </c>
      <c r="B23" s="90">
        <f>Entry!D31</f>
        <v>0</v>
      </c>
    </row>
    <row r="24" spans="1:2" x14ac:dyDescent="0.25">
      <c r="A24" s="4" t="s">
        <v>196</v>
      </c>
      <c r="B24" s="90">
        <f>Entry!D32</f>
        <v>0</v>
      </c>
    </row>
    <row r="25" spans="1:2" x14ac:dyDescent="0.25">
      <c r="A25" s="4" t="s">
        <v>319</v>
      </c>
      <c r="B25" s="90">
        <f>Entry!D33</f>
        <v>0</v>
      </c>
    </row>
    <row r="26" spans="1:2" x14ac:dyDescent="0.25">
      <c r="A26" s="4" t="s">
        <v>198</v>
      </c>
      <c r="B26" s="90">
        <f>Entry!D34</f>
        <v>0</v>
      </c>
    </row>
    <row r="27" spans="1:2" x14ac:dyDescent="0.25">
      <c r="A27" s="4" t="s">
        <v>199</v>
      </c>
      <c r="B27" s="90">
        <f>IF(Entry!D35="Available daily for 24 hours",1,0)</f>
        <v>0</v>
      </c>
    </row>
    <row r="28" spans="1:2" x14ac:dyDescent="0.25">
      <c r="A28" s="4" t="s">
        <v>334</v>
      </c>
      <c r="B28" s="90">
        <f>IF(Entry!D35="Available daily but only in certain hours",1,0)</f>
        <v>0</v>
      </c>
    </row>
    <row r="29" spans="1:2" x14ac:dyDescent="0.25">
      <c r="A29" s="4" t="s">
        <v>335</v>
      </c>
      <c r="B29" s="90">
        <f>IF(Entry!D35="Available only on certain days of the week",1,0)</f>
        <v>0</v>
      </c>
    </row>
    <row r="30" spans="1:2" x14ac:dyDescent="0.25">
      <c r="A30" s="4" t="s">
        <v>200</v>
      </c>
      <c r="B30" s="90">
        <f>Entry!D36</f>
        <v>0</v>
      </c>
    </row>
    <row r="31" spans="1:2" x14ac:dyDescent="0.25">
      <c r="A31" s="4" t="s">
        <v>201</v>
      </c>
      <c r="B31" s="90">
        <f>Entry!D37</f>
        <v>0</v>
      </c>
    </row>
    <row r="32" spans="1:2" x14ac:dyDescent="0.25">
      <c r="A32" s="4" t="s">
        <v>413</v>
      </c>
      <c r="B32" s="90">
        <f>Entry!D43</f>
        <v>0</v>
      </c>
    </row>
    <row r="33" spans="1:2" x14ac:dyDescent="0.25">
      <c r="A33" s="4" t="s">
        <v>414</v>
      </c>
      <c r="B33" s="90">
        <f>Entry!E43</f>
        <v>0</v>
      </c>
    </row>
    <row r="34" spans="1:2" x14ac:dyDescent="0.25">
      <c r="A34" s="4" t="s">
        <v>415</v>
      </c>
      <c r="B34" s="90">
        <f>Entry!F43</f>
        <v>0</v>
      </c>
    </row>
    <row r="35" spans="1:2" x14ac:dyDescent="0.25">
      <c r="A35" s="4" t="s">
        <v>416</v>
      </c>
      <c r="B35" s="90">
        <f>Entry!D44</f>
        <v>0</v>
      </c>
    </row>
    <row r="36" spans="1:2" x14ac:dyDescent="0.25">
      <c r="A36" s="4" t="s">
        <v>417</v>
      </c>
      <c r="B36" s="90">
        <f>Entry!E44</f>
        <v>0</v>
      </c>
    </row>
    <row r="37" spans="1:2" x14ac:dyDescent="0.25">
      <c r="A37" s="4" t="s">
        <v>418</v>
      </c>
      <c r="B37" s="90">
        <f>Entry!F44</f>
        <v>0</v>
      </c>
    </row>
    <row r="38" spans="1:2" x14ac:dyDescent="0.25">
      <c r="A38" s="4" t="s">
        <v>202</v>
      </c>
      <c r="B38" s="90">
        <f>Entry!D46</f>
        <v>0</v>
      </c>
    </row>
    <row r="39" spans="1:2" x14ac:dyDescent="0.25">
      <c r="A39" s="4" t="s">
        <v>411</v>
      </c>
      <c r="B39" s="90">
        <f>Entry!D47</f>
        <v>0</v>
      </c>
    </row>
    <row r="40" spans="1:2" x14ac:dyDescent="0.25">
      <c r="A40" s="4" t="s">
        <v>412</v>
      </c>
      <c r="B40" s="90">
        <f>Entry!D48</f>
        <v>0</v>
      </c>
    </row>
    <row r="41" spans="1:2" x14ac:dyDescent="0.25">
      <c r="A41" s="4" t="s">
        <v>203</v>
      </c>
      <c r="B41" s="90">
        <f>Entry!D49</f>
        <v>0</v>
      </c>
    </row>
    <row r="42" spans="1:2" x14ac:dyDescent="0.25">
      <c r="A42" s="4" t="s">
        <v>204</v>
      </c>
      <c r="B42" s="90">
        <f>Entry!D50</f>
        <v>0</v>
      </c>
    </row>
    <row r="43" spans="1:2" x14ac:dyDescent="0.25">
      <c r="A43" s="4" t="s">
        <v>205</v>
      </c>
      <c r="B43" s="90">
        <f>Entry!D51</f>
        <v>0</v>
      </c>
    </row>
    <row r="44" spans="1:2" x14ac:dyDescent="0.25">
      <c r="A44" s="4" t="s">
        <v>206</v>
      </c>
      <c r="B44" s="90">
        <f>Entry!D52</f>
        <v>0</v>
      </c>
    </row>
    <row r="45" spans="1:2" x14ac:dyDescent="0.25">
      <c r="A45" s="4" t="s">
        <v>336</v>
      </c>
      <c r="B45" s="90">
        <f>IF(Entry!D53="Daily",1,0)</f>
        <v>0</v>
      </c>
    </row>
    <row r="46" spans="1:2" x14ac:dyDescent="0.25">
      <c r="A46" s="4" t="s">
        <v>337</v>
      </c>
      <c r="B46" s="90">
        <f>IF(Entry!D53="At least twice a week",1,0)</f>
        <v>0</v>
      </c>
    </row>
    <row r="47" spans="1:2" x14ac:dyDescent="0.25">
      <c r="A47" s="4" t="s">
        <v>338</v>
      </c>
      <c r="B47" s="90">
        <f>IF(Entry!D53="Once a week",1,0)</f>
        <v>0</v>
      </c>
    </row>
    <row r="48" spans="1:2" x14ac:dyDescent="0.25">
      <c r="A48" s="4" t="s">
        <v>339</v>
      </c>
      <c r="B48" s="90">
        <f>IF(Entry!D53="Less than once a week",1,0)</f>
        <v>0</v>
      </c>
    </row>
    <row r="49" spans="1:2" x14ac:dyDescent="0.25">
      <c r="A49" s="4" t="s">
        <v>207</v>
      </c>
      <c r="B49" s="90">
        <f>Entry!D54</f>
        <v>0</v>
      </c>
    </row>
    <row r="50" spans="1:2" x14ac:dyDescent="0.25">
      <c r="A50" s="4" t="s">
        <v>208</v>
      </c>
      <c r="B50" s="90">
        <f>Entry!D56</f>
        <v>0</v>
      </c>
    </row>
    <row r="51" spans="1:2" x14ac:dyDescent="0.25">
      <c r="A51" s="4" t="s">
        <v>209</v>
      </c>
      <c r="B51" s="90">
        <f>Entry!D57</f>
        <v>0</v>
      </c>
    </row>
    <row r="52" spans="1:2" x14ac:dyDescent="0.25">
      <c r="A52" s="4" t="s">
        <v>210</v>
      </c>
      <c r="B52" s="90">
        <f>Entry!D58</f>
        <v>0</v>
      </c>
    </row>
    <row r="53" spans="1:2" x14ac:dyDescent="0.25">
      <c r="A53" s="4" t="s">
        <v>211</v>
      </c>
      <c r="B53" s="90">
        <f>Entry!D59</f>
        <v>0</v>
      </c>
    </row>
    <row r="54" spans="1:2" x14ac:dyDescent="0.25">
      <c r="A54" s="4" t="s">
        <v>212</v>
      </c>
      <c r="B54" s="90">
        <f>Entry!D60</f>
        <v>0</v>
      </c>
    </row>
    <row r="55" spans="1:2" x14ac:dyDescent="0.25">
      <c r="A55" s="4" t="s">
        <v>213</v>
      </c>
      <c r="B55" s="90">
        <f>Entry!D61</f>
        <v>0</v>
      </c>
    </row>
    <row r="56" spans="1:2" x14ac:dyDescent="0.25">
      <c r="A56" s="4" t="s">
        <v>214</v>
      </c>
      <c r="B56" s="90">
        <f>Entry!D62</f>
        <v>0</v>
      </c>
    </row>
    <row r="57" spans="1:2" x14ac:dyDescent="0.25">
      <c r="A57" s="4" t="s">
        <v>215</v>
      </c>
      <c r="B57" s="90">
        <f>Entry!D63</f>
        <v>0</v>
      </c>
    </row>
    <row r="58" spans="1:2" x14ac:dyDescent="0.25">
      <c r="A58" s="4" t="s">
        <v>216</v>
      </c>
      <c r="B58" s="90">
        <f>Entry!D64</f>
        <v>0</v>
      </c>
    </row>
    <row r="59" spans="1:2" x14ac:dyDescent="0.25">
      <c r="A59" s="4" t="s">
        <v>217</v>
      </c>
      <c r="B59" s="90">
        <f>Entry!D65</f>
        <v>0</v>
      </c>
    </row>
    <row r="60" spans="1:2" x14ac:dyDescent="0.25">
      <c r="A60" s="4" t="s">
        <v>218</v>
      </c>
      <c r="B60" s="90">
        <f>Entry!D66</f>
        <v>0</v>
      </c>
    </row>
    <row r="61" spans="1:2" x14ac:dyDescent="0.25">
      <c r="A61" s="4" t="s">
        <v>340</v>
      </c>
      <c r="B61" s="90">
        <f>IF(Entry!D67="Daily",1,0)</f>
        <v>0</v>
      </c>
    </row>
    <row r="62" spans="1:2" x14ac:dyDescent="0.25">
      <c r="A62" s="4" t="s">
        <v>341</v>
      </c>
      <c r="B62" s="90">
        <f>IF(Entry!D67="2-3 times a week",1,0)</f>
        <v>0</v>
      </c>
    </row>
    <row r="63" spans="1:2" x14ac:dyDescent="0.25">
      <c r="A63" s="4" t="s">
        <v>342</v>
      </c>
      <c r="B63" s="90">
        <f>IF(Entry!D67="Once a week",1,0)</f>
        <v>0</v>
      </c>
    </row>
    <row r="64" spans="1:2" x14ac:dyDescent="0.25">
      <c r="A64" s="4" t="s">
        <v>343</v>
      </c>
      <c r="B64" s="90">
        <f>IF(Entry!D67="No collection",1,0)</f>
        <v>0</v>
      </c>
    </row>
    <row r="65" spans="1:2" x14ac:dyDescent="0.25">
      <c r="A65" s="4" t="s">
        <v>350</v>
      </c>
      <c r="B65" s="90">
        <f>Entry!D68</f>
        <v>0</v>
      </c>
    </row>
    <row r="66" spans="1:2" x14ac:dyDescent="0.25">
      <c r="A66" s="4" t="s">
        <v>219</v>
      </c>
      <c r="B66" s="90">
        <f>Entry!D69</f>
        <v>0</v>
      </c>
    </row>
    <row r="67" spans="1:2" x14ac:dyDescent="0.25">
      <c r="A67" s="4" t="s">
        <v>220</v>
      </c>
      <c r="B67" s="90">
        <f>Entry!D70</f>
        <v>0</v>
      </c>
    </row>
    <row r="68" spans="1:2" x14ac:dyDescent="0.25">
      <c r="A68" s="4" t="s">
        <v>347</v>
      </c>
      <c r="B68" s="90">
        <f>IF(Entry!D71="All",1,0)</f>
        <v>0</v>
      </c>
    </row>
    <row r="69" spans="1:2" x14ac:dyDescent="0.25">
      <c r="A69" s="4" t="s">
        <v>348</v>
      </c>
      <c r="B69" s="90">
        <f>IF(Entry!D71="Some",1,0)</f>
        <v>0</v>
      </c>
    </row>
    <row r="70" spans="1:2" x14ac:dyDescent="0.25">
      <c r="A70" s="4" t="s">
        <v>349</v>
      </c>
      <c r="B70" s="90">
        <f>IF(Entry!D71="None",1,0)</f>
        <v>0</v>
      </c>
    </row>
    <row r="71" spans="1:2" x14ac:dyDescent="0.25">
      <c r="A71" s="4" t="s">
        <v>221</v>
      </c>
      <c r="B71" s="90">
        <f>Entry!D73</f>
        <v>0</v>
      </c>
    </row>
    <row r="72" spans="1:2" x14ac:dyDescent="0.25">
      <c r="A72" s="4" t="s">
        <v>222</v>
      </c>
      <c r="B72" s="90">
        <f>Entry!D75</f>
        <v>0</v>
      </c>
    </row>
    <row r="73" spans="1:2" x14ac:dyDescent="0.25">
      <c r="A73" s="4" t="s">
        <v>223</v>
      </c>
      <c r="B73" s="90">
        <f>Entry!D76</f>
        <v>0</v>
      </c>
    </row>
    <row r="74" spans="1:2" x14ac:dyDescent="0.25">
      <c r="A74" s="4" t="s">
        <v>224</v>
      </c>
      <c r="B74" s="90">
        <f>Entry!D77</f>
        <v>0</v>
      </c>
    </row>
    <row r="75" spans="1:2" x14ac:dyDescent="0.25">
      <c r="A75" s="4" t="s">
        <v>225</v>
      </c>
      <c r="B75" s="90">
        <f>Entry!D78</f>
        <v>0</v>
      </c>
    </row>
    <row r="76" spans="1:2" x14ac:dyDescent="0.25">
      <c r="A76" s="4" t="s">
        <v>226</v>
      </c>
      <c r="B76" s="90">
        <f>Entry!D79</f>
        <v>0</v>
      </c>
    </row>
    <row r="77" spans="1:2" x14ac:dyDescent="0.25">
      <c r="A77" s="4" t="s">
        <v>227</v>
      </c>
      <c r="B77" s="90">
        <f>Entry!D80</f>
        <v>0</v>
      </c>
    </row>
    <row r="78" spans="1:2" x14ac:dyDescent="0.25">
      <c r="A78" s="4" t="s">
        <v>228</v>
      </c>
      <c r="B78" s="90">
        <f>Entry!D82</f>
        <v>0</v>
      </c>
    </row>
    <row r="79" spans="1:2" x14ac:dyDescent="0.25">
      <c r="A79" s="4" t="s">
        <v>229</v>
      </c>
      <c r="B79" s="90">
        <f>Entry!D83</f>
        <v>0</v>
      </c>
    </row>
    <row r="80" spans="1:2" x14ac:dyDescent="0.25">
      <c r="A80" s="4" t="s">
        <v>230</v>
      </c>
      <c r="B80" s="90">
        <f>Entry!D84</f>
        <v>0</v>
      </c>
    </row>
    <row r="81" spans="1:2" x14ac:dyDescent="0.25">
      <c r="A81" s="4" t="s">
        <v>344</v>
      </c>
      <c r="B81" s="90">
        <f>IF(Entry!D85="All",1,0)</f>
        <v>0</v>
      </c>
    </row>
    <row r="82" spans="1:2" x14ac:dyDescent="0.25">
      <c r="A82" s="4" t="s">
        <v>345</v>
      </c>
      <c r="B82" s="90">
        <f>IF(Entry!D85="Some",1,0)</f>
        <v>0</v>
      </c>
    </row>
    <row r="83" spans="1:2" x14ac:dyDescent="0.25">
      <c r="A83" s="4" t="s">
        <v>346</v>
      </c>
      <c r="B83" s="90">
        <f>IF(Entry!D85="None",1,0)</f>
        <v>0</v>
      </c>
    </row>
    <row r="84" spans="1:2" x14ac:dyDescent="0.25">
      <c r="A84" s="4" t="s">
        <v>231</v>
      </c>
      <c r="B84" s="90">
        <f>Entry!D86</f>
        <v>0</v>
      </c>
    </row>
    <row r="85" spans="1:2" x14ac:dyDescent="0.25">
      <c r="A85" s="4" t="s">
        <v>232</v>
      </c>
      <c r="B85" s="90">
        <f>Entry!D91</f>
        <v>0</v>
      </c>
    </row>
    <row r="86" spans="1:2" x14ac:dyDescent="0.25">
      <c r="A86" s="4" t="s">
        <v>322</v>
      </c>
      <c r="B86" s="90">
        <f>Entry!D93</f>
        <v>0</v>
      </c>
    </row>
    <row r="87" spans="1:2" x14ac:dyDescent="0.25">
      <c r="A87" s="4" t="s">
        <v>323</v>
      </c>
      <c r="B87" s="90">
        <f>Entry!D94</f>
        <v>0</v>
      </c>
    </row>
    <row r="88" spans="1:2" x14ac:dyDescent="0.25">
      <c r="A88" s="4" t="s">
        <v>324</v>
      </c>
      <c r="B88" s="90">
        <f>Entry!D95</f>
        <v>0</v>
      </c>
    </row>
    <row r="89" spans="1:2" x14ac:dyDescent="0.25">
      <c r="A89" s="4" t="s">
        <v>233</v>
      </c>
      <c r="B89" s="90">
        <f>Entry!D96</f>
        <v>0</v>
      </c>
    </row>
    <row r="90" spans="1:2" x14ac:dyDescent="0.25">
      <c r="A90" s="4" t="s">
        <v>325</v>
      </c>
      <c r="B90" s="90">
        <f>Entry!D97</f>
        <v>0</v>
      </c>
    </row>
    <row r="91" spans="1:2" x14ac:dyDescent="0.25">
      <c r="A91" s="4" t="s">
        <v>234</v>
      </c>
      <c r="B91" s="90">
        <f>Entry!D98</f>
        <v>0</v>
      </c>
    </row>
    <row r="92" spans="1:2" x14ac:dyDescent="0.25">
      <c r="A92" s="4" t="s">
        <v>235</v>
      </c>
      <c r="B92" s="90">
        <f>Entry!D100</f>
        <v>0</v>
      </c>
    </row>
    <row r="93" spans="1:2" x14ac:dyDescent="0.25">
      <c r="A93" s="4" t="s">
        <v>236</v>
      </c>
      <c r="B93" s="90">
        <f>Entry!D101</f>
        <v>0</v>
      </c>
    </row>
    <row r="94" spans="1:2" x14ac:dyDescent="0.25">
      <c r="A94" s="4" t="s">
        <v>237</v>
      </c>
      <c r="B94" s="90">
        <f>Entry!D102</f>
        <v>0</v>
      </c>
    </row>
    <row r="95" spans="1:2" x14ac:dyDescent="0.25">
      <c r="A95" s="4" t="s">
        <v>238</v>
      </c>
      <c r="B95" s="90">
        <f>Entry!D103</f>
        <v>0</v>
      </c>
    </row>
    <row r="96" spans="1:2" x14ac:dyDescent="0.25">
      <c r="A96" s="4" t="s">
        <v>239</v>
      </c>
      <c r="B96" s="90">
        <f>Entry!D104</f>
        <v>0</v>
      </c>
    </row>
    <row r="97" spans="1:2" x14ac:dyDescent="0.25">
      <c r="A97" s="4" t="s">
        <v>240</v>
      </c>
      <c r="B97" s="90">
        <f>Entry!D105</f>
        <v>0</v>
      </c>
    </row>
    <row r="98" spans="1:2" x14ac:dyDescent="0.25">
      <c r="A98" s="4" t="s">
        <v>241</v>
      </c>
      <c r="B98" s="90">
        <f>Entry!D106</f>
        <v>0</v>
      </c>
    </row>
    <row r="99" spans="1:2" x14ac:dyDescent="0.25">
      <c r="A99" s="4" t="s">
        <v>242</v>
      </c>
      <c r="B99" s="90">
        <f>Entry!D108</f>
        <v>0</v>
      </c>
    </row>
    <row r="100" spans="1:2" x14ac:dyDescent="0.25">
      <c r="A100" s="4" t="s">
        <v>243</v>
      </c>
      <c r="B100" s="90">
        <f>Entry!D109</f>
        <v>0</v>
      </c>
    </row>
    <row r="101" spans="1:2" x14ac:dyDescent="0.25">
      <c r="A101" s="4" t="s">
        <v>284</v>
      </c>
      <c r="B101" s="90">
        <f>Entry!D110</f>
        <v>0</v>
      </c>
    </row>
    <row r="102" spans="1:2" x14ac:dyDescent="0.25">
      <c r="A102" s="4" t="s">
        <v>244</v>
      </c>
      <c r="B102" s="90">
        <f>Entry!D111</f>
        <v>0</v>
      </c>
    </row>
    <row r="103" spans="1:2" x14ac:dyDescent="0.25">
      <c r="A103" s="4" t="s">
        <v>245</v>
      </c>
      <c r="B103" s="90">
        <f>Entry!D112</f>
        <v>0</v>
      </c>
    </row>
    <row r="104" spans="1:2" x14ac:dyDescent="0.25">
      <c r="A104" s="4" t="s">
        <v>246</v>
      </c>
      <c r="B104" s="90">
        <f>Entry!D113</f>
        <v>0</v>
      </c>
    </row>
    <row r="105" spans="1:2" x14ac:dyDescent="0.25">
      <c r="A105" s="4" t="s">
        <v>326</v>
      </c>
      <c r="B105" s="90">
        <f>Entry!D115</f>
        <v>0</v>
      </c>
    </row>
    <row r="106" spans="1:2" x14ac:dyDescent="0.25">
      <c r="A106" s="4" t="s">
        <v>327</v>
      </c>
      <c r="B106" s="90">
        <f>Entry!D116</f>
        <v>0</v>
      </c>
    </row>
    <row r="107" spans="1:2" x14ac:dyDescent="0.25">
      <c r="A107" s="4" t="s">
        <v>328</v>
      </c>
      <c r="B107" s="90">
        <f>Entry!D117</f>
        <v>0</v>
      </c>
    </row>
    <row r="108" spans="1:2" x14ac:dyDescent="0.25">
      <c r="A108" s="4" t="s">
        <v>247</v>
      </c>
      <c r="B108" s="90">
        <f>Entry!D118</f>
        <v>0</v>
      </c>
    </row>
    <row r="109" spans="1:2" x14ac:dyDescent="0.25">
      <c r="A109" s="4" t="s">
        <v>248</v>
      </c>
      <c r="B109" s="90">
        <f>Entry!D120</f>
        <v>0</v>
      </c>
    </row>
    <row r="110" spans="1:2" x14ac:dyDescent="0.25">
      <c r="A110" s="4" t="s">
        <v>249</v>
      </c>
      <c r="B110" s="90">
        <f>Entry!D121</f>
        <v>0</v>
      </c>
    </row>
    <row r="111" spans="1:2" x14ac:dyDescent="0.25">
      <c r="A111" s="4" t="s">
        <v>250</v>
      </c>
      <c r="B111" s="90">
        <f>Entry!D124</f>
        <v>0</v>
      </c>
    </row>
    <row r="112" spans="1:2" x14ac:dyDescent="0.25">
      <c r="A112" s="4" t="s">
        <v>251</v>
      </c>
      <c r="B112" s="90">
        <f>Entry!D125</f>
        <v>0</v>
      </c>
    </row>
    <row r="113" spans="1:2" x14ac:dyDescent="0.25">
      <c r="A113" s="4" t="s">
        <v>252</v>
      </c>
      <c r="B113" s="90">
        <f>Entry!D126</f>
        <v>0</v>
      </c>
    </row>
    <row r="114" spans="1:2" x14ac:dyDescent="0.25">
      <c r="A114" s="4" t="s">
        <v>253</v>
      </c>
      <c r="B114" s="90">
        <f>Entry!D127</f>
        <v>0</v>
      </c>
    </row>
    <row r="115" spans="1:2" x14ac:dyDescent="0.25">
      <c r="A115" s="4" t="s">
        <v>254</v>
      </c>
      <c r="B115" s="90">
        <f>Entry!D128</f>
        <v>0</v>
      </c>
    </row>
    <row r="116" spans="1:2" x14ac:dyDescent="0.25">
      <c r="A116" s="4" t="s">
        <v>255</v>
      </c>
      <c r="B116" s="90">
        <f>Entry!E124</f>
        <v>0</v>
      </c>
    </row>
    <row r="117" spans="1:2" x14ac:dyDescent="0.25">
      <c r="A117" s="4" t="s">
        <v>256</v>
      </c>
      <c r="B117" s="90">
        <f>Entry!E125</f>
        <v>0</v>
      </c>
    </row>
    <row r="118" spans="1:2" x14ac:dyDescent="0.25">
      <c r="A118" s="4" t="s">
        <v>257</v>
      </c>
      <c r="B118" s="90">
        <f>Entry!E126</f>
        <v>0</v>
      </c>
    </row>
    <row r="119" spans="1:2" x14ac:dyDescent="0.25">
      <c r="A119" s="4" t="s">
        <v>258</v>
      </c>
      <c r="B119" s="90">
        <f>Entry!E127</f>
        <v>0</v>
      </c>
    </row>
    <row r="120" spans="1:2" x14ac:dyDescent="0.25">
      <c r="A120" s="4" t="s">
        <v>259</v>
      </c>
      <c r="B120" s="90">
        <f>Entry!E128</f>
        <v>0</v>
      </c>
    </row>
    <row r="121" spans="1:2" x14ac:dyDescent="0.25">
      <c r="A121" s="4" t="s">
        <v>260</v>
      </c>
      <c r="B121" s="90">
        <f>Entry!F124</f>
        <v>0</v>
      </c>
    </row>
    <row r="122" spans="1:2" x14ac:dyDescent="0.25">
      <c r="A122" s="4" t="s">
        <v>261</v>
      </c>
      <c r="B122" s="90">
        <f>Entry!F125</f>
        <v>0</v>
      </c>
    </row>
    <row r="123" spans="1:2" x14ac:dyDescent="0.25">
      <c r="A123" s="4" t="s">
        <v>262</v>
      </c>
      <c r="B123" s="90">
        <f>Entry!F126</f>
        <v>0</v>
      </c>
    </row>
    <row r="124" spans="1:2" x14ac:dyDescent="0.25">
      <c r="A124" s="4" t="s">
        <v>263</v>
      </c>
      <c r="B124" s="90">
        <f>Entry!F127</f>
        <v>0</v>
      </c>
    </row>
    <row r="125" spans="1:2" x14ac:dyDescent="0.25">
      <c r="A125" s="4" t="s">
        <v>264</v>
      </c>
      <c r="B125" s="90">
        <f>Entry!F128</f>
        <v>0</v>
      </c>
    </row>
    <row r="126" spans="1:2" x14ac:dyDescent="0.25">
      <c r="A126" s="4" t="s">
        <v>265</v>
      </c>
      <c r="B126" s="90">
        <f>Entry!G124</f>
        <v>0</v>
      </c>
    </row>
    <row r="127" spans="1:2" x14ac:dyDescent="0.25">
      <c r="A127" s="4" t="s">
        <v>266</v>
      </c>
      <c r="B127" s="90">
        <f>Entry!G125</f>
        <v>0</v>
      </c>
    </row>
    <row r="128" spans="1:2" x14ac:dyDescent="0.25">
      <c r="A128" s="4" t="s">
        <v>267</v>
      </c>
      <c r="B128" s="90">
        <f>Entry!G126</f>
        <v>0</v>
      </c>
    </row>
    <row r="129" spans="1:2" x14ac:dyDescent="0.25">
      <c r="A129" s="4" t="s">
        <v>268</v>
      </c>
      <c r="B129" s="90">
        <f>Entry!G127</f>
        <v>0</v>
      </c>
    </row>
    <row r="130" spans="1:2" x14ac:dyDescent="0.25">
      <c r="A130" s="4" t="s">
        <v>269</v>
      </c>
      <c r="B130" s="90">
        <f>Entry!G128</f>
        <v>0</v>
      </c>
    </row>
    <row r="131" spans="1:2" x14ac:dyDescent="0.25">
      <c r="A131" s="4" t="s">
        <v>270</v>
      </c>
      <c r="B131" s="90">
        <f>Entry!H124</f>
        <v>0</v>
      </c>
    </row>
    <row r="132" spans="1:2" x14ac:dyDescent="0.25">
      <c r="A132" s="4" t="s">
        <v>271</v>
      </c>
      <c r="B132" s="90">
        <f>Entry!H125</f>
        <v>0</v>
      </c>
    </row>
    <row r="133" spans="1:2" x14ac:dyDescent="0.25">
      <c r="A133" s="4" t="s">
        <v>272</v>
      </c>
      <c r="B133" s="90">
        <f>Entry!H126</f>
        <v>0</v>
      </c>
    </row>
    <row r="134" spans="1:2" x14ac:dyDescent="0.25">
      <c r="A134" s="4" t="s">
        <v>273</v>
      </c>
      <c r="B134" s="90">
        <f>Entry!H127</f>
        <v>0</v>
      </c>
    </row>
    <row r="135" spans="1:2" x14ac:dyDescent="0.25">
      <c r="A135" s="4" t="s">
        <v>274</v>
      </c>
      <c r="B135" s="90">
        <f>Entry!D131</f>
        <v>0</v>
      </c>
    </row>
    <row r="136" spans="1:2" x14ac:dyDescent="0.25">
      <c r="A136" s="4" t="s">
        <v>275</v>
      </c>
      <c r="B136" s="90">
        <f>Entry!D132</f>
        <v>0</v>
      </c>
    </row>
    <row r="137" spans="1:2" x14ac:dyDescent="0.25">
      <c r="A137" s="4" t="s">
        <v>276</v>
      </c>
      <c r="B137" s="90">
        <f>Entry!D133</f>
        <v>0</v>
      </c>
    </row>
    <row r="138" spans="1:2" x14ac:dyDescent="0.25">
      <c r="A138" s="4" t="s">
        <v>329</v>
      </c>
      <c r="B138" s="90">
        <f>Entry!D134</f>
        <v>0</v>
      </c>
    </row>
    <row r="139" spans="1:2" x14ac:dyDescent="0.25">
      <c r="A139" s="4" t="s">
        <v>277</v>
      </c>
      <c r="B139" s="90">
        <f>Entry!D135</f>
        <v>0</v>
      </c>
    </row>
    <row r="140" spans="1:2" x14ac:dyDescent="0.25">
      <c r="A140" s="4" t="s">
        <v>278</v>
      </c>
      <c r="B140" s="90">
        <f>Entry!D136</f>
        <v>0</v>
      </c>
    </row>
    <row r="141" spans="1:2" x14ac:dyDescent="0.25">
      <c r="A141" s="4" t="s">
        <v>279</v>
      </c>
      <c r="B141" s="90">
        <f>Entry!D137</f>
        <v>0</v>
      </c>
    </row>
    <row r="142" spans="1:2" x14ac:dyDescent="0.25">
      <c r="A142" s="4" t="s">
        <v>280</v>
      </c>
      <c r="B142" s="90">
        <f>Entry!D138</f>
        <v>0</v>
      </c>
    </row>
    <row r="143" spans="1:2" x14ac:dyDescent="0.25">
      <c r="A143" s="4" t="s">
        <v>281</v>
      </c>
      <c r="B143" s="90">
        <f>Entry!D139</f>
        <v>0</v>
      </c>
    </row>
    <row r="144" spans="1:2" x14ac:dyDescent="0.25">
      <c r="A144" s="4" t="s">
        <v>282</v>
      </c>
      <c r="B144" s="90">
        <f>Entry!D144</f>
        <v>0</v>
      </c>
    </row>
    <row r="145" spans="1:2" x14ac:dyDescent="0.25">
      <c r="A145" s="4" t="s">
        <v>283</v>
      </c>
      <c r="B145" s="90">
        <f>Entry!D145</f>
        <v>0</v>
      </c>
    </row>
    <row r="146" spans="1:2" x14ac:dyDescent="0.25">
      <c r="A146" s="4" t="s">
        <v>291</v>
      </c>
      <c r="B146" s="90">
        <f>Entry!D151</f>
        <v>0</v>
      </c>
    </row>
    <row r="147" spans="1:2" x14ac:dyDescent="0.25">
      <c r="A147" s="4" t="s">
        <v>292</v>
      </c>
      <c r="B147" s="90">
        <f>Entry!D152</f>
        <v>0</v>
      </c>
    </row>
    <row r="148" spans="1:2" x14ac:dyDescent="0.25">
      <c r="A148" s="4" t="s">
        <v>293</v>
      </c>
      <c r="B148" s="90">
        <f>Entry!D153</f>
        <v>0</v>
      </c>
    </row>
    <row r="149" spans="1:2" x14ac:dyDescent="0.25">
      <c r="A149" s="4" t="s">
        <v>294</v>
      </c>
      <c r="B149" s="90">
        <f>Entry!D154</f>
        <v>0</v>
      </c>
    </row>
    <row r="150" spans="1:2" x14ac:dyDescent="0.25">
      <c r="A150" s="4" t="s">
        <v>295</v>
      </c>
      <c r="B150" s="90">
        <f>Entry!D155</f>
        <v>0</v>
      </c>
    </row>
    <row r="151" spans="1:2" x14ac:dyDescent="0.25">
      <c r="A151" s="4" t="s">
        <v>296</v>
      </c>
      <c r="B151" s="90">
        <f>Entry!E151</f>
        <v>0</v>
      </c>
    </row>
    <row r="152" spans="1:2" x14ac:dyDescent="0.25">
      <c r="A152" s="4" t="s">
        <v>297</v>
      </c>
      <c r="B152" s="90">
        <f>Entry!E152</f>
        <v>0</v>
      </c>
    </row>
    <row r="153" spans="1:2" x14ac:dyDescent="0.25">
      <c r="A153" s="4" t="s">
        <v>298</v>
      </c>
      <c r="B153" s="90">
        <f>Entry!E153</f>
        <v>0</v>
      </c>
    </row>
    <row r="154" spans="1:2" x14ac:dyDescent="0.25">
      <c r="A154" s="4" t="s">
        <v>299</v>
      </c>
      <c r="B154" s="90">
        <f>Entry!E154</f>
        <v>0</v>
      </c>
    </row>
    <row r="155" spans="1:2" x14ac:dyDescent="0.25">
      <c r="A155" s="4" t="s">
        <v>300</v>
      </c>
      <c r="B155" s="90">
        <f>Entry!E155</f>
        <v>0</v>
      </c>
    </row>
    <row r="156" spans="1:2" x14ac:dyDescent="0.25">
      <c r="A156" s="4" t="s">
        <v>301</v>
      </c>
      <c r="B156" s="90">
        <f>Entry!F151</f>
        <v>0</v>
      </c>
    </row>
    <row r="157" spans="1:2" x14ac:dyDescent="0.25">
      <c r="A157" s="4" t="s">
        <v>302</v>
      </c>
      <c r="B157" s="90">
        <f>Entry!F152</f>
        <v>0</v>
      </c>
    </row>
    <row r="158" spans="1:2" x14ac:dyDescent="0.25">
      <c r="A158" s="4" t="s">
        <v>303</v>
      </c>
      <c r="B158" s="90">
        <f>Entry!F153</f>
        <v>0</v>
      </c>
    </row>
    <row r="159" spans="1:2" x14ac:dyDescent="0.25">
      <c r="A159" s="4" t="s">
        <v>304</v>
      </c>
      <c r="B159" s="90">
        <f>Entry!F154</f>
        <v>0</v>
      </c>
    </row>
    <row r="160" spans="1:2" x14ac:dyDescent="0.25">
      <c r="A160" s="4" t="s">
        <v>305</v>
      </c>
      <c r="B160" s="90">
        <f>Entry!F155</f>
        <v>0</v>
      </c>
    </row>
    <row r="161" spans="1:2" x14ac:dyDescent="0.25">
      <c r="A161" s="4" t="s">
        <v>306</v>
      </c>
      <c r="B161" s="90">
        <f>Entry!G151</f>
        <v>0</v>
      </c>
    </row>
    <row r="162" spans="1:2" x14ac:dyDescent="0.25">
      <c r="A162" s="4" t="s">
        <v>307</v>
      </c>
      <c r="B162" s="90">
        <f>Entry!G152</f>
        <v>0</v>
      </c>
    </row>
    <row r="163" spans="1:2" x14ac:dyDescent="0.25">
      <c r="A163" s="4" t="s">
        <v>308</v>
      </c>
      <c r="B163" s="90">
        <f>Entry!G153</f>
        <v>0</v>
      </c>
    </row>
    <row r="164" spans="1:2" x14ac:dyDescent="0.25">
      <c r="A164" s="4" t="s">
        <v>309</v>
      </c>
      <c r="B164" s="90">
        <f>Entry!G154</f>
        <v>0</v>
      </c>
    </row>
    <row r="165" spans="1:2" x14ac:dyDescent="0.25">
      <c r="A165" s="4" t="s">
        <v>310</v>
      </c>
      <c r="B165" s="90">
        <f>Entry!G155</f>
        <v>0</v>
      </c>
    </row>
    <row r="166" spans="1:2" x14ac:dyDescent="0.25">
      <c r="A166" s="4" t="s">
        <v>285</v>
      </c>
      <c r="B166" s="90">
        <f>Entry!D157</f>
        <v>0</v>
      </c>
    </row>
    <row r="167" spans="1:2" x14ac:dyDescent="0.25">
      <c r="A167" s="4" t="s">
        <v>286</v>
      </c>
      <c r="B167" s="90">
        <f>Entry!D158</f>
        <v>0</v>
      </c>
    </row>
    <row r="168" spans="1:2" x14ac:dyDescent="0.25">
      <c r="A168" s="4" t="s">
        <v>287</v>
      </c>
      <c r="B168" s="90">
        <f>Entry!D159</f>
        <v>0</v>
      </c>
    </row>
    <row r="169" spans="1:2" x14ac:dyDescent="0.25">
      <c r="A169" s="4" t="s">
        <v>288</v>
      </c>
      <c r="B169" s="90">
        <f>Entry!D160</f>
        <v>0</v>
      </c>
    </row>
    <row r="170" spans="1:2" x14ac:dyDescent="0.25">
      <c r="A170" s="4" t="s">
        <v>289</v>
      </c>
      <c r="B170" s="90">
        <f>Entry!D161</f>
        <v>0</v>
      </c>
    </row>
    <row r="171" spans="1:2" x14ac:dyDescent="0.25">
      <c r="A171" s="4" t="s">
        <v>290</v>
      </c>
      <c r="B171" s="90">
        <f>Entry!D162</f>
        <v>0</v>
      </c>
    </row>
  </sheetData>
  <sheetProtection sheet="1" objects="1" scenarios="1"/>
  <dataValidations disablePrompts="1" count="1">
    <dataValidation type="list" allowBlank="1" showInputMessage="1" showErrorMessage="1" sqref="D2:E1048576">
      <formula1>"Y,N"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heetViews>
  <sheetFormatPr defaultRowHeight="15" x14ac:dyDescent="0.25"/>
  <cols>
    <col min="1" max="1" width="9.140625" style="90"/>
    <col min="2" max="2" width="9.140625" style="91" customWidth="1"/>
    <col min="3" max="3" width="9.140625" style="3"/>
    <col min="4" max="6" width="9.140625" style="16"/>
    <col min="7" max="7" width="9.140625" style="3"/>
    <col min="8" max="11" width="9.140625" style="16"/>
    <col min="12" max="16384" width="9.140625" style="3"/>
  </cols>
  <sheetData>
    <row r="1" spans="1:2" x14ac:dyDescent="0.25">
      <c r="A1" s="90" t="s">
        <v>174</v>
      </c>
      <c r="B1" s="91" t="s">
        <v>176</v>
      </c>
    </row>
    <row r="2" spans="1:2" x14ac:dyDescent="0.25">
      <c r="A2" s="90" t="s">
        <v>175</v>
      </c>
      <c r="B2" s="91" t="s">
        <v>521</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Entry</vt:lpstr>
      <vt:lpstr>Matrix</vt:lpstr>
      <vt:lpstr>3Stars</vt:lpstr>
      <vt:lpstr>Charts</vt:lpstr>
      <vt:lpstr>Dropdown</vt:lpstr>
      <vt:lpstr>Ref</vt:lpstr>
      <vt:lpstr>Settings</vt:lpstr>
      <vt:lpstr>Dropdown</vt:lpstr>
      <vt:lpstr>Headers</vt:lpstr>
      <vt:lpstr>'3Stars'!Print_Area</vt:lpstr>
      <vt:lpstr>Charts!Print_Area</vt:lpstr>
      <vt:lpstr>Matrix!Print_Area</vt:lpstr>
      <vt:lpstr>'3Stars'!Print_Titles</vt:lpstr>
    </vt:vector>
  </TitlesOfParts>
  <Company>Prive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UserXP</dc:creator>
  <cp:lastModifiedBy>Toshiba</cp:lastModifiedBy>
  <cp:lastPrinted>2016-12-19T08:09:19Z</cp:lastPrinted>
  <dcterms:created xsi:type="dcterms:W3CDTF">2014-10-30T07:14:49Z</dcterms:created>
  <dcterms:modified xsi:type="dcterms:W3CDTF">2016-12-20T03:16:39Z</dcterms:modified>
</cp:coreProperties>
</file>